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chaelkimble/Desktop/Symington Lab/Manuscripts/Kimble/Resection &amp; Recombination/Submission/Source data/"/>
    </mc:Choice>
  </mc:AlternateContent>
  <xr:revisionPtr revIDLastSave="0" documentId="13_ncr:1_{710C2DF4-09C9-D140-B89F-940F6A973657}" xr6:coauthVersionLast="36" xr6:coauthVersionMax="36" xr10:uidLastSave="{00000000-0000-0000-0000-000000000000}"/>
  <bookViews>
    <workbookView xWindow="2540" yWindow="460" windowWidth="24620" windowHeight="15880" xr2:uid="{B4BE65C8-2B46-E84A-9592-57B04C9F0791}"/>
  </bookViews>
  <sheets>
    <sheet name="Figure 5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6" i="2" l="1"/>
  <c r="G175" i="2" l="1"/>
  <c r="M12" i="2"/>
  <c r="L12" i="2"/>
  <c r="L181" i="2" l="1"/>
  <c r="L180" i="2"/>
  <c r="K180" i="2"/>
  <c r="L179" i="2"/>
  <c r="K179" i="2"/>
  <c r="J179" i="2"/>
  <c r="L178" i="2"/>
  <c r="K178" i="2"/>
  <c r="J178" i="2"/>
  <c r="I178" i="2"/>
  <c r="L177" i="2"/>
  <c r="K177" i="2"/>
  <c r="J177" i="2"/>
  <c r="I177" i="2"/>
  <c r="H177" i="2"/>
  <c r="L176" i="2" l="1"/>
  <c r="K176" i="2"/>
  <c r="J176" i="2"/>
  <c r="H176" i="2"/>
  <c r="I176" i="2"/>
  <c r="L175" i="2"/>
  <c r="K175" i="2"/>
  <c r="J175" i="2"/>
  <c r="I175" i="2"/>
  <c r="H175" i="2"/>
  <c r="F175" i="2"/>
  <c r="H167" i="2" l="1"/>
  <c r="H166" i="2"/>
  <c r="H163" i="2"/>
  <c r="H160" i="2"/>
  <c r="E164" i="2"/>
  <c r="K164" i="2"/>
  <c r="J164" i="2"/>
  <c r="H157" i="2"/>
  <c r="H156" i="2"/>
  <c r="H155" i="2"/>
  <c r="H154" i="2"/>
  <c r="H153" i="2"/>
  <c r="H152" i="2"/>
  <c r="H151" i="2"/>
  <c r="H150" i="2"/>
  <c r="H149" i="2"/>
  <c r="H148" i="2"/>
  <c r="E155" i="2"/>
  <c r="E154" i="2"/>
  <c r="E151" i="2"/>
  <c r="E150" i="2"/>
  <c r="E149" i="2"/>
  <c r="E148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J134" i="2"/>
  <c r="K134" i="2" s="1"/>
  <c r="H129" i="2"/>
  <c r="H128" i="2"/>
  <c r="H127" i="2"/>
  <c r="H126" i="2"/>
  <c r="H125" i="2"/>
  <c r="H124" i="2"/>
  <c r="H123" i="2"/>
  <c r="H122" i="2"/>
  <c r="H121" i="2"/>
  <c r="H120" i="2"/>
  <c r="E129" i="2"/>
  <c r="E128" i="2"/>
  <c r="E127" i="2"/>
  <c r="E125" i="2"/>
  <c r="E121" i="2"/>
  <c r="H117" i="2"/>
  <c r="H116" i="2"/>
  <c r="H115" i="2"/>
  <c r="H114" i="2"/>
  <c r="H113" i="2"/>
  <c r="H112" i="2"/>
  <c r="H111" i="2"/>
  <c r="H110" i="2"/>
  <c r="J112" i="2"/>
  <c r="K112" i="2" s="1"/>
  <c r="H107" i="2"/>
  <c r="H106" i="2"/>
  <c r="H105" i="2"/>
  <c r="H104" i="2"/>
  <c r="H103" i="2"/>
  <c r="H102" i="2"/>
  <c r="H101" i="2"/>
  <c r="H100" i="2"/>
  <c r="H99" i="2"/>
  <c r="H98" i="2"/>
  <c r="E107" i="2"/>
  <c r="E105" i="2"/>
  <c r="E104" i="2"/>
  <c r="E103" i="2"/>
  <c r="E102" i="2"/>
  <c r="E101" i="2"/>
  <c r="E100" i="2"/>
  <c r="H95" i="2"/>
  <c r="H94" i="2"/>
  <c r="H93" i="2"/>
  <c r="H92" i="2"/>
  <c r="H90" i="2"/>
  <c r="H89" i="2"/>
  <c r="H88" i="2"/>
  <c r="E89" i="2"/>
  <c r="E88" i="2"/>
  <c r="J90" i="2"/>
  <c r="K90" i="2" s="1"/>
  <c r="H85" i="2"/>
  <c r="H84" i="2"/>
  <c r="H83" i="2"/>
  <c r="H82" i="2"/>
  <c r="H81" i="2"/>
  <c r="H80" i="2"/>
  <c r="H79" i="2"/>
  <c r="H78" i="2"/>
  <c r="H77" i="2"/>
  <c r="H76" i="2"/>
  <c r="E85" i="2"/>
  <c r="E84" i="2"/>
  <c r="E83" i="2"/>
  <c r="E80" i="2"/>
  <c r="E78" i="2"/>
  <c r="E77" i="2"/>
  <c r="E76" i="2"/>
  <c r="H73" i="2"/>
  <c r="H72" i="2"/>
  <c r="H71" i="2"/>
  <c r="H70" i="2"/>
  <c r="H69" i="2"/>
  <c r="H68" i="2"/>
  <c r="H67" i="2"/>
  <c r="H66" i="2"/>
  <c r="E70" i="2"/>
  <c r="H63" i="2"/>
  <c r="H62" i="2"/>
  <c r="H61" i="2"/>
  <c r="H60" i="2"/>
  <c r="H59" i="2"/>
  <c r="H58" i="2"/>
  <c r="H57" i="2"/>
  <c r="H56" i="2"/>
  <c r="E63" i="2"/>
  <c r="E62" i="2"/>
  <c r="E61" i="2"/>
  <c r="E60" i="2"/>
  <c r="E59" i="2"/>
  <c r="E57" i="2"/>
  <c r="E56" i="2"/>
  <c r="H53" i="2"/>
  <c r="H52" i="2"/>
  <c r="H51" i="2"/>
  <c r="H50" i="2"/>
  <c r="H48" i="2"/>
  <c r="E50" i="2"/>
  <c r="E49" i="2"/>
  <c r="E48" i="2"/>
  <c r="H43" i="2"/>
  <c r="H42" i="2"/>
  <c r="H41" i="2"/>
  <c r="H40" i="2"/>
  <c r="H39" i="2"/>
  <c r="H38" i="2"/>
  <c r="H37" i="2"/>
  <c r="H36" i="2"/>
  <c r="E43" i="2"/>
  <c r="E41" i="2"/>
  <c r="E40" i="2"/>
  <c r="E39" i="2"/>
  <c r="E38" i="2"/>
  <c r="E37" i="2"/>
  <c r="E36" i="2"/>
  <c r="E19" i="2"/>
  <c r="E18" i="2"/>
  <c r="E17" i="2"/>
  <c r="E16" i="2"/>
  <c r="E15" i="2"/>
  <c r="E13" i="2"/>
  <c r="E12" i="2"/>
  <c r="H17" i="2"/>
  <c r="H15" i="2"/>
  <c r="H14" i="2"/>
  <c r="H13" i="2"/>
  <c r="H12" i="2"/>
  <c r="I166" i="2"/>
  <c r="J166" i="2" s="1"/>
  <c r="K166" i="2" s="1"/>
  <c r="F166" i="2"/>
  <c r="I164" i="2"/>
  <c r="F164" i="2"/>
  <c r="I162" i="2"/>
  <c r="F162" i="2"/>
  <c r="I160" i="2"/>
  <c r="J160" i="2" s="1"/>
  <c r="K160" i="2" s="1"/>
  <c r="F160" i="2"/>
  <c r="I156" i="2"/>
  <c r="J156" i="2" s="1"/>
  <c r="F156" i="2"/>
  <c r="I154" i="2"/>
  <c r="J154" i="2" s="1"/>
  <c r="F154" i="2"/>
  <c r="I152" i="2"/>
  <c r="J152" i="2" s="1"/>
  <c r="F152" i="2"/>
  <c r="I150" i="2"/>
  <c r="J150" i="2" s="1"/>
  <c r="F150" i="2"/>
  <c r="I148" i="2"/>
  <c r="J148" i="2" s="1"/>
  <c r="F148" i="2"/>
  <c r="I144" i="2"/>
  <c r="J144" i="2" s="1"/>
  <c r="K144" i="2" s="1"/>
  <c r="F144" i="2"/>
  <c r="I142" i="2"/>
  <c r="J142" i="2" s="1"/>
  <c r="K142" i="2" s="1"/>
  <c r="F142" i="2"/>
  <c r="I140" i="2"/>
  <c r="J140" i="2" s="1"/>
  <c r="K140" i="2" s="1"/>
  <c r="F140" i="2"/>
  <c r="I138" i="2"/>
  <c r="J138" i="2" s="1"/>
  <c r="K138" i="2" s="1"/>
  <c r="F138" i="2"/>
  <c r="I136" i="2"/>
  <c r="J136" i="2" s="1"/>
  <c r="K136" i="2" s="1"/>
  <c r="F136" i="2"/>
  <c r="I134" i="2"/>
  <c r="F134" i="2"/>
  <c r="I132" i="2"/>
  <c r="J132" i="2" s="1"/>
  <c r="K132" i="2" s="1"/>
  <c r="F132" i="2"/>
  <c r="I128" i="2"/>
  <c r="J128" i="2" s="1"/>
  <c r="F128" i="2"/>
  <c r="I126" i="2"/>
  <c r="J126" i="2" s="1"/>
  <c r="F126" i="2"/>
  <c r="I124" i="2"/>
  <c r="J124" i="2" s="1"/>
  <c r="F124" i="2"/>
  <c r="I122" i="2"/>
  <c r="J122" i="2" s="1"/>
  <c r="F122" i="2"/>
  <c r="I120" i="2"/>
  <c r="J120" i="2" s="1"/>
  <c r="F120" i="2"/>
  <c r="I116" i="2"/>
  <c r="J116" i="2" s="1"/>
  <c r="K116" i="2" s="1"/>
  <c r="F116" i="2"/>
  <c r="I114" i="2"/>
  <c r="J114" i="2" s="1"/>
  <c r="K114" i="2" s="1"/>
  <c r="F114" i="2"/>
  <c r="I112" i="2"/>
  <c r="F112" i="2"/>
  <c r="I110" i="2"/>
  <c r="J110" i="2" s="1"/>
  <c r="K110" i="2" s="1"/>
  <c r="L110" i="2" s="1"/>
  <c r="F110" i="2"/>
  <c r="I106" i="2"/>
  <c r="J106" i="2" s="1"/>
  <c r="F106" i="2"/>
  <c r="I104" i="2"/>
  <c r="J104" i="2" s="1"/>
  <c r="F104" i="2"/>
  <c r="I102" i="2"/>
  <c r="J102" i="2" s="1"/>
  <c r="F102" i="2"/>
  <c r="I100" i="2"/>
  <c r="J100" i="2" s="1"/>
  <c r="F100" i="2"/>
  <c r="I98" i="2"/>
  <c r="J98" i="2" s="1"/>
  <c r="K98" i="2" s="1"/>
  <c r="F98" i="2"/>
  <c r="I94" i="2"/>
  <c r="J94" i="2" s="1"/>
  <c r="K94" i="2" s="1"/>
  <c r="F94" i="2"/>
  <c r="I92" i="2"/>
  <c r="J92" i="2" s="1"/>
  <c r="K92" i="2" s="1"/>
  <c r="F92" i="2"/>
  <c r="I90" i="2"/>
  <c r="F90" i="2"/>
  <c r="I88" i="2"/>
  <c r="J88" i="2" s="1"/>
  <c r="K88" i="2" s="1"/>
  <c r="F88" i="2"/>
  <c r="I72" i="2"/>
  <c r="J72" i="2" s="1"/>
  <c r="K72" i="2" s="1"/>
  <c r="F72" i="2"/>
  <c r="I70" i="2"/>
  <c r="J70" i="2" s="1"/>
  <c r="K70" i="2" s="1"/>
  <c r="F70" i="2"/>
  <c r="I68" i="2"/>
  <c r="J68" i="2" s="1"/>
  <c r="K68" i="2" s="1"/>
  <c r="F68" i="2"/>
  <c r="I66" i="2"/>
  <c r="J66" i="2" s="1"/>
  <c r="K66" i="2" s="1"/>
  <c r="F66" i="2"/>
  <c r="I62" i="2"/>
  <c r="J62" i="2" s="1"/>
  <c r="F62" i="2"/>
  <c r="I60" i="2"/>
  <c r="J60" i="2" s="1"/>
  <c r="F60" i="2"/>
  <c r="I58" i="2"/>
  <c r="J58" i="2" s="1"/>
  <c r="K58" i="2" s="1"/>
  <c r="F58" i="2"/>
  <c r="I56" i="2"/>
  <c r="J56" i="2" s="1"/>
  <c r="F56" i="2"/>
  <c r="I52" i="2"/>
  <c r="J52" i="2" s="1"/>
  <c r="F52" i="2"/>
  <c r="I50" i="2"/>
  <c r="J50" i="2" s="1"/>
  <c r="F50" i="2"/>
  <c r="I48" i="2"/>
  <c r="J48" i="2" s="1"/>
  <c r="F48" i="2"/>
  <c r="I46" i="2"/>
  <c r="J46" i="2" s="1"/>
  <c r="F46" i="2"/>
  <c r="I42" i="2"/>
  <c r="J42" i="2" s="1"/>
  <c r="F42" i="2"/>
  <c r="I40" i="2"/>
  <c r="J40" i="2" s="1"/>
  <c r="F40" i="2"/>
  <c r="I38" i="2"/>
  <c r="J38" i="2" s="1"/>
  <c r="F38" i="2"/>
  <c r="I36" i="2"/>
  <c r="J36" i="2" s="1"/>
  <c r="F36" i="2"/>
  <c r="I18" i="2"/>
  <c r="J18" i="2" s="1"/>
  <c r="F18" i="2"/>
  <c r="I16" i="2"/>
  <c r="J16" i="2" s="1"/>
  <c r="F16" i="2"/>
  <c r="I14" i="2"/>
  <c r="J14" i="2" s="1"/>
  <c r="F14" i="2"/>
  <c r="I12" i="2"/>
  <c r="J12" i="2" s="1"/>
  <c r="F12" i="2"/>
  <c r="L88" i="2" l="1"/>
  <c r="M88" i="2"/>
  <c r="L132" i="2"/>
  <c r="J162" i="2"/>
  <c r="L66" i="2"/>
  <c r="M66" i="2"/>
  <c r="K150" i="2"/>
  <c r="L148" i="2" s="1"/>
  <c r="K148" i="2"/>
  <c r="K156" i="2"/>
  <c r="K154" i="2"/>
  <c r="K152" i="2"/>
  <c r="K122" i="2"/>
  <c r="K126" i="2"/>
  <c r="K120" i="2"/>
  <c r="K124" i="2"/>
  <c r="K128" i="2"/>
  <c r="L120" i="2"/>
  <c r="M110" i="2"/>
  <c r="K104" i="2"/>
  <c r="K100" i="2"/>
  <c r="L98" i="2" s="1"/>
  <c r="K102" i="2"/>
  <c r="K106" i="2"/>
  <c r="K60" i="2"/>
  <c r="K56" i="2"/>
  <c r="K62" i="2"/>
  <c r="K52" i="2"/>
  <c r="K50" i="2"/>
  <c r="K48" i="2"/>
  <c r="K46" i="2"/>
  <c r="L46" i="2" s="1"/>
  <c r="K38" i="2"/>
  <c r="K40" i="2"/>
  <c r="K36" i="2"/>
  <c r="K42" i="2"/>
  <c r="K16" i="2"/>
  <c r="K18" i="2"/>
  <c r="K12" i="2"/>
  <c r="K14" i="2"/>
  <c r="M46" i="2" l="1"/>
  <c r="M148" i="2"/>
  <c r="M120" i="2"/>
  <c r="M98" i="2"/>
  <c r="K162" i="2"/>
  <c r="M36" i="2"/>
  <c r="M132" i="2"/>
  <c r="M56" i="2"/>
  <c r="L56" i="2"/>
  <c r="L36" i="2"/>
  <c r="L160" i="2" l="1"/>
  <c r="M160" i="2"/>
  <c r="E2" i="2"/>
  <c r="F2" i="2"/>
  <c r="H2" i="2"/>
  <c r="I2" i="2"/>
  <c r="J2" i="2" s="1"/>
  <c r="E3" i="2"/>
  <c r="H3" i="2"/>
  <c r="E4" i="2"/>
  <c r="F4" i="2"/>
  <c r="H4" i="2"/>
  <c r="I4" i="2"/>
  <c r="J4" i="2" s="1"/>
  <c r="E5" i="2"/>
  <c r="H5" i="2"/>
  <c r="E6" i="2"/>
  <c r="F6" i="2"/>
  <c r="H6" i="2"/>
  <c r="I6" i="2"/>
  <c r="J6" i="2"/>
  <c r="E7" i="2"/>
  <c r="H7" i="2"/>
  <c r="E8" i="2"/>
  <c r="F8" i="2"/>
  <c r="H8" i="2"/>
  <c r="I8" i="2"/>
  <c r="J8" i="2" s="1"/>
  <c r="E9" i="2"/>
  <c r="H9" i="2"/>
  <c r="F76" i="2"/>
  <c r="I76" i="2"/>
  <c r="J76" i="2" s="1"/>
  <c r="F78" i="2"/>
  <c r="I78" i="2"/>
  <c r="J78" i="2" s="1"/>
  <c r="F80" i="2"/>
  <c r="I80" i="2"/>
  <c r="J80" i="2" s="1"/>
  <c r="F82" i="2"/>
  <c r="I82" i="2"/>
  <c r="J82" i="2" s="1"/>
  <c r="F84" i="2"/>
  <c r="I84" i="2"/>
  <c r="J84" i="2" s="1"/>
  <c r="E20" i="2"/>
  <c r="F20" i="2"/>
  <c r="H20" i="2"/>
  <c r="I20" i="2"/>
  <c r="J20" i="2" s="1"/>
  <c r="K20" i="2" s="1"/>
  <c r="E21" i="2"/>
  <c r="H21" i="2"/>
  <c r="E22" i="2"/>
  <c r="F22" i="2"/>
  <c r="H22" i="2"/>
  <c r="I22" i="2"/>
  <c r="J22" i="2"/>
  <c r="E23" i="2"/>
  <c r="H23" i="2"/>
  <c r="E24" i="2"/>
  <c r="F24" i="2"/>
  <c r="H24" i="2"/>
  <c r="I24" i="2"/>
  <c r="J24" i="2" s="1"/>
  <c r="E25" i="2"/>
  <c r="H25" i="2"/>
  <c r="E26" i="2"/>
  <c r="F26" i="2"/>
  <c r="H26" i="2"/>
  <c r="I26" i="2"/>
  <c r="J26" i="2"/>
  <c r="E27" i="2"/>
  <c r="H27" i="2"/>
  <c r="E28" i="2"/>
  <c r="F28" i="2"/>
  <c r="H28" i="2"/>
  <c r="I28" i="2"/>
  <c r="J28" i="2" s="1"/>
  <c r="E29" i="2"/>
  <c r="H29" i="2"/>
  <c r="E30" i="2"/>
  <c r="F30" i="2"/>
  <c r="H30" i="2"/>
  <c r="I30" i="2"/>
  <c r="J30" i="2" s="1"/>
  <c r="E31" i="2"/>
  <c r="H31" i="2"/>
  <c r="E32" i="2"/>
  <c r="F32" i="2"/>
  <c r="H32" i="2"/>
  <c r="I32" i="2"/>
  <c r="J32" i="2" s="1"/>
  <c r="E33" i="2"/>
  <c r="H33" i="2"/>
  <c r="K78" i="2" l="1"/>
  <c r="M76" i="2" s="1"/>
  <c r="K84" i="2"/>
  <c r="K80" i="2"/>
  <c r="K82" i="2"/>
  <c r="K24" i="2"/>
  <c r="K26" i="2"/>
  <c r="K28" i="2"/>
  <c r="K32" i="2"/>
  <c r="K2" i="2"/>
  <c r="K30" i="2"/>
  <c r="K6" i="2"/>
  <c r="K4" i="2"/>
  <c r="K8" i="2"/>
  <c r="K22" i="2"/>
  <c r="K76" i="2"/>
  <c r="L76" i="2"/>
  <c r="L2" i="2" l="1"/>
  <c r="M2" i="2"/>
</calcChain>
</file>

<file path=xl/sharedStrings.xml><?xml version="1.0" encoding="utf-8"?>
<sst xmlns="http://schemas.openxmlformats.org/spreadsheetml/2006/main" count="217" uniqueCount="40">
  <si>
    <t>ST DEV</t>
  </si>
  <si>
    <t>Average survival frequency</t>
  </si>
  <si>
    <t xml:space="preserve">Survival frequency </t>
  </si>
  <si>
    <t>Adjusted CFU (YPA + Gal)</t>
  </si>
  <si>
    <t>Average CFU (YPA + Gal)</t>
  </si>
  <si>
    <t>% red</t>
  </si>
  <si>
    <t>CFU (YPA + Gal)</t>
  </si>
  <si>
    <t>Average CFU (YPAD)</t>
  </si>
  <si>
    <t>% white</t>
  </si>
  <si>
    <t xml:space="preserve">CFU (YPAD) </t>
  </si>
  <si>
    <t>Plate</t>
  </si>
  <si>
    <t xml:space="preserve">Culture </t>
  </si>
  <si>
    <t>Genotype</t>
  </si>
  <si>
    <t>WT 100 kb donor</t>
  </si>
  <si>
    <t>WT 4 kb donor</t>
  </si>
  <si>
    <t>WT 19 kb donor</t>
  </si>
  <si>
    <t>WT 54 kb donor</t>
  </si>
  <si>
    <t>* plated 2x cells on YPA + Gal relative to YPAD</t>
  </si>
  <si>
    <t>* plated 2.5x cells on YPA + Gal relative to YPAD</t>
  </si>
  <si>
    <t>WT 250 kb donor</t>
  </si>
  <si>
    <t>WT 448 kb donor</t>
  </si>
  <si>
    <t>* plated 2.5x cells on YPA + Gal relative to YPAD (1-4), plated 5x cells on YPA + Gal realtive to YPAD (5-7)</t>
  </si>
  <si>
    <t>WT 478 kb donor</t>
  </si>
  <si>
    <t>TTEST</t>
  </si>
  <si>
    <t>478 kb</t>
  </si>
  <si>
    <t>4 kb</t>
  </si>
  <si>
    <t>19 kb</t>
  </si>
  <si>
    <t>54 kb</t>
  </si>
  <si>
    <t>100 kb</t>
  </si>
  <si>
    <t>250 kb</t>
  </si>
  <si>
    <t>448 kb</t>
  </si>
  <si>
    <r>
      <t xml:space="preserve">WT v </t>
    </r>
    <r>
      <rPr>
        <i/>
        <sz val="12"/>
        <color theme="1"/>
        <rFont val="Calibri"/>
        <family val="2"/>
        <scheme val="minor"/>
      </rPr>
      <t>exo1 sgs1</t>
    </r>
  </si>
  <si>
    <r>
      <t>exo1 sgs1</t>
    </r>
    <r>
      <rPr>
        <sz val="12"/>
        <color theme="1"/>
        <rFont val="Calibri"/>
        <family val="2"/>
        <scheme val="minor"/>
      </rPr>
      <t xml:space="preserve"> site 1</t>
    </r>
    <r>
      <rPr>
        <i/>
        <sz val="12"/>
        <color theme="1"/>
        <rFont val="Calibri"/>
        <family val="2"/>
        <scheme val="minor"/>
      </rPr>
      <t xml:space="preserve"> v exo1 sgs1 </t>
    </r>
    <r>
      <rPr>
        <sz val="12"/>
        <color theme="1"/>
        <rFont val="Calibri"/>
        <family val="2"/>
        <scheme val="minor"/>
      </rPr>
      <t>site 2</t>
    </r>
  </si>
  <si>
    <r>
      <rPr>
        <i/>
        <sz val="12"/>
        <color theme="1"/>
        <rFont val="Calibri"/>
        <family val="2"/>
        <scheme val="minor"/>
      </rPr>
      <t>exo1 sgs1</t>
    </r>
    <r>
      <rPr>
        <sz val="12"/>
        <color theme="1"/>
        <rFont val="Calibri"/>
        <family val="2"/>
        <scheme val="minor"/>
      </rPr>
      <t xml:space="preserve"> 4 kb donor</t>
    </r>
  </si>
  <si>
    <r>
      <rPr>
        <i/>
        <sz val="12"/>
        <color theme="1"/>
        <rFont val="Calibri"/>
        <family val="2"/>
        <scheme val="minor"/>
      </rPr>
      <t>exo1 sgs1</t>
    </r>
    <r>
      <rPr>
        <sz val="12"/>
        <color theme="1"/>
        <rFont val="Calibri"/>
        <family val="2"/>
        <scheme val="minor"/>
      </rPr>
      <t xml:space="preserve"> 19 kb donor</t>
    </r>
  </si>
  <si>
    <r>
      <rPr>
        <i/>
        <sz val="12"/>
        <color theme="1"/>
        <rFont val="Calibri"/>
        <family val="2"/>
        <scheme val="minor"/>
      </rPr>
      <t>exo1 sgs1</t>
    </r>
    <r>
      <rPr>
        <sz val="12"/>
        <color theme="1"/>
        <rFont val="Calibri"/>
        <family val="2"/>
        <scheme val="minor"/>
      </rPr>
      <t xml:space="preserve"> 54 kb donor</t>
    </r>
  </si>
  <si>
    <r>
      <rPr>
        <i/>
        <sz val="12"/>
        <color theme="1"/>
        <rFont val="Calibri"/>
        <family val="2"/>
        <scheme val="minor"/>
      </rPr>
      <t>exo1 sgs1</t>
    </r>
    <r>
      <rPr>
        <sz val="12"/>
        <color theme="1"/>
        <rFont val="Calibri"/>
        <family val="2"/>
        <scheme val="minor"/>
      </rPr>
      <t xml:space="preserve"> 100 kb donor</t>
    </r>
  </si>
  <si>
    <r>
      <rPr>
        <i/>
        <sz val="12"/>
        <color theme="1"/>
        <rFont val="Calibri"/>
        <family val="2"/>
        <scheme val="minor"/>
      </rPr>
      <t>exo1 sgs1</t>
    </r>
    <r>
      <rPr>
        <sz val="12"/>
        <color theme="1"/>
        <rFont val="Calibri"/>
        <family val="2"/>
        <scheme val="minor"/>
      </rPr>
      <t xml:space="preserve"> 250 kb donor</t>
    </r>
  </si>
  <si>
    <r>
      <rPr>
        <i/>
        <sz val="12"/>
        <color theme="1"/>
        <rFont val="Calibri"/>
        <family val="2"/>
        <scheme val="minor"/>
      </rPr>
      <t>exo1 sgs1</t>
    </r>
    <r>
      <rPr>
        <sz val="12"/>
        <color theme="1"/>
        <rFont val="Calibri"/>
        <family val="2"/>
        <scheme val="minor"/>
      </rPr>
      <t xml:space="preserve"> 448 kb donor</t>
    </r>
  </si>
  <si>
    <r>
      <rPr>
        <i/>
        <sz val="12"/>
        <color theme="1"/>
        <rFont val="Calibri"/>
        <family val="2"/>
        <scheme val="minor"/>
      </rPr>
      <t>exo1 sgs1</t>
    </r>
    <r>
      <rPr>
        <sz val="12"/>
        <color theme="1"/>
        <rFont val="Calibri"/>
        <family val="2"/>
        <scheme val="minor"/>
      </rPr>
      <t xml:space="preserve"> 478 kb donor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</si>
</sst>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Border="1" applyAlignment="1">
      <alignment horizontal="center"/>
    </xf>
    <xf numFmtId="0" fontId="0" fillId="0" borderId="1" xfId="0" applyBorder="1"/>
    <xf numFmtId="0" fontId="1" fillId="0" borderId="1" xfId="0" applyFont="1" applyFill="1" applyBorder="1"/>
    <xf numFmtId="0" fontId="1" fillId="0" borderId="1" xfId="0" applyFont="1" applyBorder="1"/>
    <xf numFmtId="0" fontId="0" fillId="0" borderId="0" xfId="0" applyBorder="1" applyAlignment="1">
      <alignment vertical="top"/>
    </xf>
    <xf numFmtId="0" fontId="0" fillId="0" borderId="0" xfId="0" applyBorder="1" applyAlignment="1">
      <alignment vertical="center"/>
    </xf>
    <xf numFmtId="0" fontId="0" fillId="0" borderId="1" xfId="0" applyFill="1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top"/>
    </xf>
    <xf numFmtId="0" fontId="0" fillId="0" borderId="0" xfId="0" applyBorder="1"/>
    <xf numFmtId="0" fontId="1" fillId="0" borderId="3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978888-A9A5-5A42-9754-BCAD2B4343E3}">
  <dimension ref="A1:N181"/>
  <sheetViews>
    <sheetView tabSelected="1" zoomScale="70" zoomScaleNormal="70" workbookViewId="0">
      <selection activeCell="G187" sqref="G187"/>
    </sheetView>
  </sheetViews>
  <sheetFormatPr baseColWidth="10" defaultRowHeight="16" x14ac:dyDescent="0.2"/>
  <cols>
    <col min="1" max="1" width="25.33203125" bestFit="1" customWidth="1"/>
    <col min="2" max="2" width="8.1640625" bestFit="1" customWidth="1"/>
    <col min="3" max="3" width="5.33203125" bestFit="1" customWidth="1"/>
    <col min="4" max="4" width="16.33203125" customWidth="1"/>
    <col min="5" max="5" width="14.6640625" customWidth="1"/>
    <col min="6" max="6" width="19.83203125" bestFit="1" customWidth="1"/>
    <col min="7" max="7" width="15.6640625" bestFit="1" customWidth="1"/>
    <col min="8" max="8" width="13.33203125" bestFit="1" customWidth="1"/>
    <col min="9" max="9" width="24" bestFit="1" customWidth="1"/>
    <col min="10" max="10" width="24.1640625" bestFit="1" customWidth="1"/>
    <col min="11" max="11" width="18.1640625" bestFit="1" customWidth="1"/>
    <col min="12" max="12" width="25.33203125" bestFit="1" customWidth="1"/>
    <col min="13" max="13" width="13.33203125" bestFit="1" customWidth="1"/>
    <col min="14" max="14" width="10" bestFit="1" customWidth="1"/>
    <col min="15" max="15" width="11" bestFit="1" customWidth="1"/>
    <col min="16" max="16" width="15.33203125" bestFit="1" customWidth="1"/>
    <col min="17" max="17" width="7.1640625" bestFit="1" customWidth="1"/>
  </cols>
  <sheetData>
    <row r="1" spans="1:13" x14ac:dyDescent="0.2">
      <c r="A1" s="4" t="s">
        <v>12</v>
      </c>
      <c r="B1" s="4" t="s">
        <v>11</v>
      </c>
      <c r="C1" s="4" t="s">
        <v>10</v>
      </c>
      <c r="D1" s="4" t="s">
        <v>9</v>
      </c>
      <c r="E1" s="4" t="s">
        <v>8</v>
      </c>
      <c r="F1" s="4" t="s">
        <v>7</v>
      </c>
      <c r="G1" s="4" t="s">
        <v>6</v>
      </c>
      <c r="H1" s="4" t="s">
        <v>5</v>
      </c>
      <c r="I1" s="4" t="s">
        <v>4</v>
      </c>
      <c r="J1" s="4" t="s">
        <v>3</v>
      </c>
      <c r="K1" s="4" t="s">
        <v>2</v>
      </c>
      <c r="L1" s="3" t="s">
        <v>1</v>
      </c>
      <c r="M1" s="3" t="s">
        <v>0</v>
      </c>
    </row>
    <row r="2" spans="1:13" x14ac:dyDescent="0.2">
      <c r="A2" s="18" t="s">
        <v>14</v>
      </c>
      <c r="B2" s="17">
        <v>1</v>
      </c>
      <c r="C2" s="2">
        <v>1</v>
      </c>
      <c r="D2" s="2">
        <v>188</v>
      </c>
      <c r="E2" s="2">
        <f>1/D2*100</f>
        <v>0.53191489361702127</v>
      </c>
      <c r="F2" s="16">
        <f>AVERAGE(D2:D3)</f>
        <v>177.5</v>
      </c>
      <c r="G2" s="2">
        <v>195</v>
      </c>
      <c r="H2" s="2">
        <f>16/G2*100</f>
        <v>8.2051282051282044</v>
      </c>
      <c r="I2" s="16">
        <f>AVERAGE(G2:G3)</f>
        <v>215</v>
      </c>
      <c r="J2" s="16">
        <f>I2</f>
        <v>215</v>
      </c>
      <c r="K2" s="16">
        <f>J2/F2</f>
        <v>1.2112676056338028</v>
      </c>
      <c r="L2" s="13">
        <f>AVERAGE(K2:K8)</f>
        <v>1.0713978600283873</v>
      </c>
      <c r="M2" s="13">
        <f>STDEV(K2:K8)</f>
        <v>0.12768306364172155</v>
      </c>
    </row>
    <row r="3" spans="1:13" x14ac:dyDescent="0.2">
      <c r="A3" s="18"/>
      <c r="B3" s="17"/>
      <c r="C3" s="2">
        <v>2</v>
      </c>
      <c r="D3" s="2">
        <v>167</v>
      </c>
      <c r="E3" s="2">
        <f>1/D3*100</f>
        <v>0.5988023952095809</v>
      </c>
      <c r="F3" s="16"/>
      <c r="G3" s="2">
        <v>235</v>
      </c>
      <c r="H3" s="2">
        <f>15/G3*100</f>
        <v>6.3829787234042552</v>
      </c>
      <c r="I3" s="16"/>
      <c r="J3" s="16"/>
      <c r="K3" s="16"/>
      <c r="L3" s="14"/>
      <c r="M3" s="14"/>
    </row>
    <row r="4" spans="1:13" x14ac:dyDescent="0.2">
      <c r="A4" s="18"/>
      <c r="B4" s="17">
        <v>2</v>
      </c>
      <c r="C4" s="2">
        <v>1</v>
      </c>
      <c r="D4" s="2">
        <v>226</v>
      </c>
      <c r="E4" s="2">
        <f>4/D4*100</f>
        <v>1.7699115044247788</v>
      </c>
      <c r="F4" s="16">
        <f>AVERAGE(D4:D5)</f>
        <v>215</v>
      </c>
      <c r="G4" s="2">
        <v>169</v>
      </c>
      <c r="H4" s="2">
        <f>14/G4*100</f>
        <v>8.2840236686390547</v>
      </c>
      <c r="I4" s="16">
        <f>AVERAGE(G4:G5)</f>
        <v>203.5</v>
      </c>
      <c r="J4" s="16">
        <f>I4</f>
        <v>203.5</v>
      </c>
      <c r="K4" s="16">
        <f>J4/F4</f>
        <v>0.94651162790697674</v>
      </c>
      <c r="L4" s="14"/>
      <c r="M4" s="14"/>
    </row>
    <row r="5" spans="1:13" x14ac:dyDescent="0.2">
      <c r="A5" s="18"/>
      <c r="B5" s="17"/>
      <c r="C5" s="2">
        <v>2</v>
      </c>
      <c r="D5" s="2">
        <v>204</v>
      </c>
      <c r="E5" s="2">
        <f>3/D5*100</f>
        <v>1.4705882352941175</v>
      </c>
      <c r="F5" s="16"/>
      <c r="G5" s="2">
        <v>238</v>
      </c>
      <c r="H5" s="2">
        <f>10/G5*100</f>
        <v>4.2016806722689077</v>
      </c>
      <c r="I5" s="16"/>
      <c r="J5" s="16"/>
      <c r="K5" s="16"/>
      <c r="L5" s="14"/>
      <c r="M5" s="14"/>
    </row>
    <row r="6" spans="1:13" x14ac:dyDescent="0.2">
      <c r="A6" s="18"/>
      <c r="B6" s="17">
        <v>3</v>
      </c>
      <c r="C6" s="2">
        <v>1</v>
      </c>
      <c r="D6" s="2">
        <v>200</v>
      </c>
      <c r="E6" s="2">
        <f>0/D6*100</f>
        <v>0</v>
      </c>
      <c r="F6" s="16">
        <f>AVERAGE(D6:D7)</f>
        <v>187.5</v>
      </c>
      <c r="G6" s="2">
        <v>176</v>
      </c>
      <c r="H6" s="2">
        <f>6/G6*100</f>
        <v>3.4090909090909087</v>
      </c>
      <c r="I6" s="16">
        <f>AVERAGE(G6:G7)</f>
        <v>184</v>
      </c>
      <c r="J6" s="16">
        <f>I6</f>
        <v>184</v>
      </c>
      <c r="K6" s="16">
        <f>J6/F6</f>
        <v>0.98133333333333328</v>
      </c>
      <c r="L6" s="14"/>
      <c r="M6" s="14"/>
    </row>
    <row r="7" spans="1:13" x14ac:dyDescent="0.2">
      <c r="A7" s="18"/>
      <c r="B7" s="17"/>
      <c r="C7" s="2">
        <v>2</v>
      </c>
      <c r="D7" s="2">
        <v>175</v>
      </c>
      <c r="E7" s="2">
        <f>1/D7*100</f>
        <v>0.5714285714285714</v>
      </c>
      <c r="F7" s="16"/>
      <c r="G7" s="2">
        <v>192</v>
      </c>
      <c r="H7" s="2">
        <f>8/G7*100</f>
        <v>4.1666666666666661</v>
      </c>
      <c r="I7" s="16"/>
      <c r="J7" s="16"/>
      <c r="K7" s="16"/>
      <c r="L7" s="14"/>
      <c r="M7" s="14"/>
    </row>
    <row r="8" spans="1:13" x14ac:dyDescent="0.2">
      <c r="A8" s="18"/>
      <c r="B8" s="17">
        <v>4</v>
      </c>
      <c r="C8" s="2">
        <v>1</v>
      </c>
      <c r="D8" s="2">
        <v>189</v>
      </c>
      <c r="E8" s="2">
        <f>2/D8*100</f>
        <v>1.0582010582010581</v>
      </c>
      <c r="F8" s="16">
        <f>AVERAGE(D8:D9)</f>
        <v>177.5</v>
      </c>
      <c r="G8" s="7">
        <v>190</v>
      </c>
      <c r="H8" s="2">
        <f>3/G8*100</f>
        <v>1.5789473684210527</v>
      </c>
      <c r="I8" s="16">
        <f>AVERAGE(G8:G9)</f>
        <v>203.5</v>
      </c>
      <c r="J8" s="16">
        <f>I8</f>
        <v>203.5</v>
      </c>
      <c r="K8" s="16">
        <f>J8/F8</f>
        <v>1.1464788732394366</v>
      </c>
      <c r="L8" s="14"/>
      <c r="M8" s="14"/>
    </row>
    <row r="9" spans="1:13" x14ac:dyDescent="0.2">
      <c r="A9" s="18"/>
      <c r="B9" s="17"/>
      <c r="C9" s="2">
        <v>2</v>
      </c>
      <c r="D9" s="2">
        <v>166</v>
      </c>
      <c r="E9" s="2">
        <f>0/D9*100</f>
        <v>0</v>
      </c>
      <c r="F9" s="16"/>
      <c r="G9" s="7">
        <v>217</v>
      </c>
      <c r="H9" s="2">
        <f>6/G9*100</f>
        <v>2.7649769585253456</v>
      </c>
      <c r="I9" s="16"/>
      <c r="J9" s="16"/>
      <c r="K9" s="16"/>
      <c r="L9" s="15"/>
      <c r="M9" s="15"/>
    </row>
    <row r="10" spans="1:13" x14ac:dyDescent="0.2">
      <c r="A10" s="6"/>
      <c r="B10" s="5"/>
    </row>
    <row r="11" spans="1:13" x14ac:dyDescent="0.2">
      <c r="A11" s="4" t="s">
        <v>12</v>
      </c>
      <c r="B11" s="4" t="s">
        <v>11</v>
      </c>
      <c r="C11" s="4" t="s">
        <v>10</v>
      </c>
      <c r="D11" s="4" t="s">
        <v>9</v>
      </c>
      <c r="E11" s="4" t="s">
        <v>8</v>
      </c>
      <c r="F11" s="4" t="s">
        <v>7</v>
      </c>
      <c r="G11" s="4" t="s">
        <v>6</v>
      </c>
      <c r="H11" s="4" t="s">
        <v>5</v>
      </c>
      <c r="I11" s="4" t="s">
        <v>4</v>
      </c>
      <c r="J11" s="4" t="s">
        <v>3</v>
      </c>
      <c r="K11" s="4" t="s">
        <v>2</v>
      </c>
      <c r="L11" s="3" t="s">
        <v>1</v>
      </c>
      <c r="M11" s="3" t="s">
        <v>0</v>
      </c>
    </row>
    <row r="12" spans="1:13" x14ac:dyDescent="0.2">
      <c r="A12" s="13" t="s">
        <v>33</v>
      </c>
      <c r="B12" s="17">
        <v>1</v>
      </c>
      <c r="C12" s="2">
        <v>1</v>
      </c>
      <c r="D12" s="2">
        <v>457</v>
      </c>
      <c r="E12" s="2">
        <f>2/457*100</f>
        <v>0.43763676148796499</v>
      </c>
      <c r="F12" s="16">
        <f>AVERAGE(D12:D13)</f>
        <v>491.5</v>
      </c>
      <c r="G12" s="2">
        <v>434</v>
      </c>
      <c r="H12" s="2">
        <f>3/434*100</f>
        <v>0.69124423963133641</v>
      </c>
      <c r="I12" s="16">
        <f>AVERAGE(G12:G13)</f>
        <v>443.5</v>
      </c>
      <c r="J12" s="16">
        <f>I12</f>
        <v>443.5</v>
      </c>
      <c r="K12" s="16">
        <f>J12/F12</f>
        <v>0.90233977619532046</v>
      </c>
      <c r="L12" s="13">
        <f>AVERAGE(K12:K33)</f>
        <v>0.91668843128485666</v>
      </c>
      <c r="M12" s="13">
        <f>STDEV(K12:K33)</f>
        <v>9.3204451129156554E-2</v>
      </c>
    </row>
    <row r="13" spans="1:13" x14ac:dyDescent="0.2">
      <c r="A13" s="14"/>
      <c r="B13" s="17"/>
      <c r="C13" s="2">
        <v>2</v>
      </c>
      <c r="D13" s="2">
        <v>526</v>
      </c>
      <c r="E13" s="2">
        <f>4/526*100</f>
        <v>0.76045627376425851</v>
      </c>
      <c r="F13" s="16"/>
      <c r="G13" s="2">
        <v>453</v>
      </c>
      <c r="H13" s="2">
        <f>2/453*100</f>
        <v>0.44150110375275936</v>
      </c>
      <c r="I13" s="16"/>
      <c r="J13" s="16"/>
      <c r="K13" s="16"/>
      <c r="L13" s="14"/>
      <c r="M13" s="14"/>
    </row>
    <row r="14" spans="1:13" x14ac:dyDescent="0.2">
      <c r="A14" s="14"/>
      <c r="B14" s="17">
        <v>2</v>
      </c>
      <c r="C14" s="2">
        <v>1</v>
      </c>
      <c r="D14" s="2">
        <v>397</v>
      </c>
      <c r="E14" s="2">
        <v>0</v>
      </c>
      <c r="F14" s="16">
        <f>AVERAGE(D14:D15)</f>
        <v>379</v>
      </c>
      <c r="G14" s="2">
        <v>405</v>
      </c>
      <c r="H14" s="2">
        <f>4/405*100</f>
        <v>0.98765432098765427</v>
      </c>
      <c r="I14" s="16">
        <f>AVERAGE(G14:G15)</f>
        <v>383</v>
      </c>
      <c r="J14" s="16">
        <f>I14</f>
        <v>383</v>
      </c>
      <c r="K14" s="16">
        <f>J14/F14</f>
        <v>1.0105540897097625</v>
      </c>
      <c r="L14" s="14"/>
      <c r="M14" s="14"/>
    </row>
    <row r="15" spans="1:13" x14ac:dyDescent="0.2">
      <c r="A15" s="14"/>
      <c r="B15" s="17"/>
      <c r="C15" s="2">
        <v>2</v>
      </c>
      <c r="D15" s="2">
        <v>361</v>
      </c>
      <c r="E15" s="2">
        <f>1/361*100</f>
        <v>0.2770083102493075</v>
      </c>
      <c r="F15" s="16"/>
      <c r="G15" s="2">
        <v>361</v>
      </c>
      <c r="H15" s="2">
        <f>2/361*100</f>
        <v>0.554016620498615</v>
      </c>
      <c r="I15" s="16"/>
      <c r="J15" s="16"/>
      <c r="K15" s="16"/>
      <c r="L15" s="14"/>
      <c r="M15" s="14"/>
    </row>
    <row r="16" spans="1:13" x14ac:dyDescent="0.2">
      <c r="A16" s="14"/>
      <c r="B16" s="17">
        <v>3</v>
      </c>
      <c r="C16" s="2">
        <v>1</v>
      </c>
      <c r="D16" s="2">
        <v>264</v>
      </c>
      <c r="E16" s="2">
        <f>1/264*100</f>
        <v>0.37878787878787878</v>
      </c>
      <c r="F16" s="16">
        <f>AVERAGE(D16:D17)</f>
        <v>254</v>
      </c>
      <c r="G16" s="2">
        <v>208</v>
      </c>
      <c r="H16" s="2">
        <v>0</v>
      </c>
      <c r="I16" s="16">
        <f>AVERAGE(G16:G17)</f>
        <v>223</v>
      </c>
      <c r="J16" s="16">
        <f>I16</f>
        <v>223</v>
      </c>
      <c r="K16" s="16">
        <f>J16/F16</f>
        <v>0.87795275590551181</v>
      </c>
      <c r="L16" s="14"/>
      <c r="M16" s="14"/>
    </row>
    <row r="17" spans="1:13" x14ac:dyDescent="0.2">
      <c r="A17" s="14"/>
      <c r="B17" s="17"/>
      <c r="C17" s="2">
        <v>2</v>
      </c>
      <c r="D17" s="2">
        <v>244</v>
      </c>
      <c r="E17" s="2">
        <f>1/244*100</f>
        <v>0.4098360655737705</v>
      </c>
      <c r="F17" s="16"/>
      <c r="G17" s="2">
        <v>238</v>
      </c>
      <c r="H17" s="2">
        <f>1/238*100</f>
        <v>0.42016806722689076</v>
      </c>
      <c r="I17" s="16"/>
      <c r="J17" s="16"/>
      <c r="K17" s="16"/>
      <c r="L17" s="14"/>
      <c r="M17" s="14"/>
    </row>
    <row r="18" spans="1:13" x14ac:dyDescent="0.2">
      <c r="A18" s="14"/>
      <c r="B18" s="17">
        <v>4</v>
      </c>
      <c r="C18" s="2">
        <v>1</v>
      </c>
      <c r="D18" s="2">
        <v>110</v>
      </c>
      <c r="E18" s="2">
        <f>4/110*100</f>
        <v>3.6363636363636362</v>
      </c>
      <c r="F18" s="16">
        <f>AVERAGE(D18:D19)</f>
        <v>112</v>
      </c>
      <c r="G18" s="7">
        <v>122</v>
      </c>
      <c r="H18" s="2">
        <v>0</v>
      </c>
      <c r="I18" s="16">
        <f>AVERAGE(G18:G19)</f>
        <v>114.5</v>
      </c>
      <c r="J18" s="16">
        <f>I18</f>
        <v>114.5</v>
      </c>
      <c r="K18" s="16">
        <f>J18/F18</f>
        <v>1.0223214285714286</v>
      </c>
      <c r="L18" s="14"/>
      <c r="M18" s="14"/>
    </row>
    <row r="19" spans="1:13" x14ac:dyDescent="0.2">
      <c r="A19" s="14"/>
      <c r="B19" s="17"/>
      <c r="C19" s="2">
        <v>2</v>
      </c>
      <c r="D19" s="2">
        <v>114</v>
      </c>
      <c r="E19" s="2">
        <f>4/115*100</f>
        <v>3.4782608695652173</v>
      </c>
      <c r="F19" s="16"/>
      <c r="G19" s="7">
        <v>107</v>
      </c>
      <c r="H19" s="2">
        <v>0</v>
      </c>
      <c r="I19" s="16"/>
      <c r="J19" s="16"/>
      <c r="K19" s="16"/>
      <c r="L19" s="14"/>
      <c r="M19" s="14"/>
    </row>
    <row r="20" spans="1:13" x14ac:dyDescent="0.2">
      <c r="A20" s="14"/>
      <c r="B20" s="17">
        <v>5</v>
      </c>
      <c r="C20" s="2">
        <v>1</v>
      </c>
      <c r="D20" s="2">
        <v>124</v>
      </c>
      <c r="E20" s="2">
        <f>2/D20*100</f>
        <v>1.6129032258064515</v>
      </c>
      <c r="F20" s="16">
        <f>AVERAGE(D20:D21)</f>
        <v>134.5</v>
      </c>
      <c r="G20" s="2">
        <v>95</v>
      </c>
      <c r="H20" s="2">
        <f>0/G20*100</f>
        <v>0</v>
      </c>
      <c r="I20" s="16">
        <f>AVERAGE(G20:G21)</f>
        <v>108</v>
      </c>
      <c r="J20" s="16">
        <f>I20</f>
        <v>108</v>
      </c>
      <c r="K20" s="16">
        <f>J20/F20</f>
        <v>0.80297397769516732</v>
      </c>
      <c r="L20" s="14"/>
      <c r="M20" s="14"/>
    </row>
    <row r="21" spans="1:13" x14ac:dyDescent="0.2">
      <c r="A21" s="14"/>
      <c r="B21" s="17"/>
      <c r="C21" s="2">
        <v>2</v>
      </c>
      <c r="D21" s="2">
        <v>145</v>
      </c>
      <c r="E21" s="2">
        <f>1/D21*100</f>
        <v>0.68965517241379315</v>
      </c>
      <c r="F21" s="16"/>
      <c r="G21" s="2">
        <v>121</v>
      </c>
      <c r="H21" s="2">
        <f>4/G21*100</f>
        <v>3.3057851239669422</v>
      </c>
      <c r="I21" s="16"/>
      <c r="J21" s="16"/>
      <c r="K21" s="16"/>
      <c r="L21" s="14"/>
      <c r="M21" s="14"/>
    </row>
    <row r="22" spans="1:13" x14ac:dyDescent="0.2">
      <c r="A22" s="14"/>
      <c r="B22" s="17">
        <v>6</v>
      </c>
      <c r="C22" s="2">
        <v>1</v>
      </c>
      <c r="D22" s="2">
        <v>103</v>
      </c>
      <c r="E22" s="2">
        <f>1/D22*100</f>
        <v>0.97087378640776689</v>
      </c>
      <c r="F22" s="16">
        <f>AVERAGE(D22:D23)</f>
        <v>95</v>
      </c>
      <c r="G22" s="2">
        <v>77</v>
      </c>
      <c r="H22" s="2">
        <f>0/G22*100</f>
        <v>0</v>
      </c>
      <c r="I22" s="16">
        <f>AVERAGE(G22:G23)</f>
        <v>80</v>
      </c>
      <c r="J22" s="16">
        <f>I22</f>
        <v>80</v>
      </c>
      <c r="K22" s="16">
        <f>J22/F22</f>
        <v>0.84210526315789469</v>
      </c>
      <c r="L22" s="14"/>
      <c r="M22" s="14"/>
    </row>
    <row r="23" spans="1:13" x14ac:dyDescent="0.2">
      <c r="A23" s="14"/>
      <c r="B23" s="17"/>
      <c r="C23" s="2">
        <v>2</v>
      </c>
      <c r="D23" s="2">
        <v>87</v>
      </c>
      <c r="E23" s="2">
        <f>0/D23*100</f>
        <v>0</v>
      </c>
      <c r="F23" s="16"/>
      <c r="G23" s="2">
        <v>83</v>
      </c>
      <c r="H23" s="2">
        <f>1/G23*100</f>
        <v>1.2048192771084338</v>
      </c>
      <c r="I23" s="16"/>
      <c r="J23" s="16"/>
      <c r="K23" s="16"/>
      <c r="L23" s="14"/>
      <c r="M23" s="14"/>
    </row>
    <row r="24" spans="1:13" x14ac:dyDescent="0.2">
      <c r="A24" s="14"/>
      <c r="B24" s="17">
        <v>7</v>
      </c>
      <c r="C24" s="2">
        <v>1</v>
      </c>
      <c r="D24" s="2">
        <v>96</v>
      </c>
      <c r="E24" s="2">
        <f>4/D24*100</f>
        <v>4.1666666666666661</v>
      </c>
      <c r="F24" s="16">
        <f>AVERAGE(D24:D25)</f>
        <v>92.5</v>
      </c>
      <c r="G24" s="2">
        <v>96</v>
      </c>
      <c r="H24" s="2">
        <f>1/G24*100</f>
        <v>1.0416666666666665</v>
      </c>
      <c r="I24" s="16">
        <f>AVERAGE(G24:G25)</f>
        <v>88.5</v>
      </c>
      <c r="J24" s="16">
        <f>I24</f>
        <v>88.5</v>
      </c>
      <c r="K24" s="16">
        <f>J24/F24</f>
        <v>0.95675675675675675</v>
      </c>
      <c r="L24" s="14"/>
      <c r="M24" s="14"/>
    </row>
    <row r="25" spans="1:13" x14ac:dyDescent="0.2">
      <c r="A25" s="14"/>
      <c r="B25" s="17"/>
      <c r="C25" s="2">
        <v>2</v>
      </c>
      <c r="D25" s="2">
        <v>89</v>
      </c>
      <c r="E25" s="2">
        <f>1/D25*100</f>
        <v>1.1235955056179776</v>
      </c>
      <c r="F25" s="16"/>
      <c r="G25" s="2">
        <v>81</v>
      </c>
      <c r="H25" s="2">
        <f>2/G25*100</f>
        <v>2.4691358024691357</v>
      </c>
      <c r="I25" s="16"/>
      <c r="J25" s="16"/>
      <c r="K25" s="16"/>
      <c r="L25" s="14"/>
      <c r="M25" s="14"/>
    </row>
    <row r="26" spans="1:13" x14ac:dyDescent="0.2">
      <c r="A26" s="14"/>
      <c r="B26" s="17">
        <v>8</v>
      </c>
      <c r="C26" s="2">
        <v>1</v>
      </c>
      <c r="D26" s="2">
        <v>206</v>
      </c>
      <c r="E26" s="2">
        <f>2/D26*100</f>
        <v>0.97087378640776689</v>
      </c>
      <c r="F26" s="16">
        <f>AVERAGE(D26:D27)</f>
        <v>196.5</v>
      </c>
      <c r="G26" s="2">
        <v>169</v>
      </c>
      <c r="H26" s="2">
        <f>3/G26*100</f>
        <v>1.7751479289940828</v>
      </c>
      <c r="I26" s="16">
        <f>AVERAGE(G26:G27)</f>
        <v>162</v>
      </c>
      <c r="J26" s="16">
        <f>I26</f>
        <v>162</v>
      </c>
      <c r="K26" s="16">
        <f>J26/F26</f>
        <v>0.82442748091603058</v>
      </c>
      <c r="L26" s="14"/>
      <c r="M26" s="14"/>
    </row>
    <row r="27" spans="1:13" x14ac:dyDescent="0.2">
      <c r="A27" s="14"/>
      <c r="B27" s="17"/>
      <c r="C27" s="2">
        <v>2</v>
      </c>
      <c r="D27" s="2">
        <v>187</v>
      </c>
      <c r="E27" s="2">
        <f>1/D27*100</f>
        <v>0.53475935828876997</v>
      </c>
      <c r="F27" s="16"/>
      <c r="G27" s="2">
        <v>155</v>
      </c>
      <c r="H27" s="2">
        <f>1/G27*100</f>
        <v>0.64516129032258063</v>
      </c>
      <c r="I27" s="16"/>
      <c r="J27" s="16"/>
      <c r="K27" s="16"/>
      <c r="L27" s="14"/>
      <c r="M27" s="14"/>
    </row>
    <row r="28" spans="1:13" x14ac:dyDescent="0.2">
      <c r="A28" s="14"/>
      <c r="B28" s="17">
        <v>9</v>
      </c>
      <c r="C28" s="2">
        <v>1</v>
      </c>
      <c r="D28" s="2">
        <v>342</v>
      </c>
      <c r="E28" s="2">
        <f>1/D28*100</f>
        <v>0.29239766081871343</v>
      </c>
      <c r="F28" s="16">
        <f>AVERAGE(D28:D29)</f>
        <v>333</v>
      </c>
      <c r="G28" s="2">
        <v>374</v>
      </c>
      <c r="H28" s="2">
        <f>4/G28*100</f>
        <v>1.0695187165775399</v>
      </c>
      <c r="I28" s="16">
        <f>AVERAGE(G28:G29)</f>
        <v>363</v>
      </c>
      <c r="J28" s="16">
        <f>I28</f>
        <v>363</v>
      </c>
      <c r="K28" s="16">
        <f>J28/F28</f>
        <v>1.0900900900900901</v>
      </c>
      <c r="L28" s="14"/>
      <c r="M28" s="14"/>
    </row>
    <row r="29" spans="1:13" x14ac:dyDescent="0.2">
      <c r="A29" s="14"/>
      <c r="B29" s="17"/>
      <c r="C29" s="2">
        <v>2</v>
      </c>
      <c r="D29" s="2">
        <v>324</v>
      </c>
      <c r="E29" s="2">
        <f>4/D29*100</f>
        <v>1.2345679012345678</v>
      </c>
      <c r="F29" s="16"/>
      <c r="G29" s="2">
        <v>352</v>
      </c>
      <c r="H29" s="2">
        <f>5/G29*100</f>
        <v>1.4204545454545454</v>
      </c>
      <c r="I29" s="16"/>
      <c r="J29" s="16"/>
      <c r="K29" s="16"/>
      <c r="L29" s="14"/>
      <c r="M29" s="14"/>
    </row>
    <row r="30" spans="1:13" x14ac:dyDescent="0.2">
      <c r="A30" s="14"/>
      <c r="B30" s="17">
        <v>10</v>
      </c>
      <c r="C30" s="2">
        <v>1</v>
      </c>
      <c r="D30" s="2">
        <v>372</v>
      </c>
      <c r="E30" s="2">
        <f>7/D30*100</f>
        <v>1.881720430107527</v>
      </c>
      <c r="F30" s="16">
        <f>AVERAGE(D30:D31)</f>
        <v>415</v>
      </c>
      <c r="G30" s="2">
        <v>390</v>
      </c>
      <c r="H30" s="2">
        <f>1/G30*100</f>
        <v>0.25641025641025639</v>
      </c>
      <c r="I30" s="16">
        <f>AVERAGE(G30:G31)</f>
        <v>381</v>
      </c>
      <c r="J30" s="16">
        <f>I30</f>
        <v>381</v>
      </c>
      <c r="K30" s="16">
        <f>J30/F30</f>
        <v>0.91807228915662653</v>
      </c>
      <c r="L30" s="14"/>
      <c r="M30" s="14"/>
    </row>
    <row r="31" spans="1:13" x14ac:dyDescent="0.2">
      <c r="A31" s="14"/>
      <c r="B31" s="17"/>
      <c r="C31" s="2">
        <v>2</v>
      </c>
      <c r="D31" s="2">
        <v>458</v>
      </c>
      <c r="E31" s="2">
        <f>5/D31*100</f>
        <v>1.0917030567685588</v>
      </c>
      <c r="F31" s="16"/>
      <c r="G31" s="2">
        <v>372</v>
      </c>
      <c r="H31" s="2">
        <f>4/G31*100</f>
        <v>1.0752688172043012</v>
      </c>
      <c r="I31" s="16"/>
      <c r="J31" s="16"/>
      <c r="K31" s="16"/>
      <c r="L31" s="14"/>
      <c r="M31" s="14"/>
    </row>
    <row r="32" spans="1:13" x14ac:dyDescent="0.2">
      <c r="A32" s="14"/>
      <c r="B32" s="17">
        <v>11</v>
      </c>
      <c r="C32" s="2">
        <v>1</v>
      </c>
      <c r="D32" s="2">
        <v>372</v>
      </c>
      <c r="E32" s="2">
        <f>4/D32*100</f>
        <v>1.0752688172043012</v>
      </c>
      <c r="F32" s="16">
        <f>AVERAGE(D32:D33)</f>
        <v>378</v>
      </c>
      <c r="G32" s="2">
        <v>300</v>
      </c>
      <c r="H32" s="2">
        <f>4/G32*100</f>
        <v>1.3333333333333335</v>
      </c>
      <c r="I32" s="16">
        <f>AVERAGE(G32:G33)</f>
        <v>316</v>
      </c>
      <c r="J32" s="16">
        <f>I32</f>
        <v>316</v>
      </c>
      <c r="K32" s="16">
        <f>J32/F32</f>
        <v>0.83597883597883593</v>
      </c>
      <c r="L32" s="14"/>
      <c r="M32" s="14"/>
    </row>
    <row r="33" spans="1:13" x14ac:dyDescent="0.2">
      <c r="A33" s="15"/>
      <c r="B33" s="17"/>
      <c r="C33" s="2">
        <v>2</v>
      </c>
      <c r="D33" s="2">
        <v>384</v>
      </c>
      <c r="E33" s="2">
        <f>3/D33*100</f>
        <v>0.78125</v>
      </c>
      <c r="F33" s="16"/>
      <c r="G33" s="2">
        <v>332</v>
      </c>
      <c r="H33" s="2">
        <f>3/G33*100</f>
        <v>0.90361445783132521</v>
      </c>
      <c r="I33" s="16"/>
      <c r="J33" s="16"/>
      <c r="K33" s="16"/>
      <c r="L33" s="15"/>
      <c r="M33" s="15"/>
    </row>
    <row r="34" spans="1:13" x14ac:dyDescent="0.2">
      <c r="A34" s="8"/>
      <c r="B34" s="9"/>
      <c r="C34" s="10"/>
      <c r="D34" s="10"/>
      <c r="E34" s="10"/>
      <c r="F34" s="1"/>
      <c r="G34" s="10"/>
      <c r="H34" s="10"/>
      <c r="I34" s="1"/>
      <c r="J34" s="1"/>
      <c r="K34" s="1"/>
      <c r="L34" s="8"/>
      <c r="M34" s="8"/>
    </row>
    <row r="35" spans="1:13" x14ac:dyDescent="0.2">
      <c r="A35" s="4" t="s">
        <v>12</v>
      </c>
      <c r="B35" s="4" t="s">
        <v>11</v>
      </c>
      <c r="C35" s="4" t="s">
        <v>10</v>
      </c>
      <c r="D35" s="4" t="s">
        <v>9</v>
      </c>
      <c r="E35" s="4" t="s">
        <v>8</v>
      </c>
      <c r="F35" s="4" t="s">
        <v>7</v>
      </c>
      <c r="G35" s="4" t="s">
        <v>6</v>
      </c>
      <c r="H35" s="4" t="s">
        <v>5</v>
      </c>
      <c r="I35" s="4" t="s">
        <v>4</v>
      </c>
      <c r="J35" s="4" t="s">
        <v>3</v>
      </c>
      <c r="K35" s="4" t="s">
        <v>2</v>
      </c>
      <c r="L35" s="3" t="s">
        <v>1</v>
      </c>
      <c r="M35" s="3" t="s">
        <v>0</v>
      </c>
    </row>
    <row r="36" spans="1:13" x14ac:dyDescent="0.2">
      <c r="A36" s="18" t="s">
        <v>15</v>
      </c>
      <c r="B36" s="17">
        <v>1</v>
      </c>
      <c r="C36" s="2">
        <v>1</v>
      </c>
      <c r="D36" s="2">
        <v>475</v>
      </c>
      <c r="E36" s="2">
        <f>2/475*100</f>
        <v>0.42105263157894735</v>
      </c>
      <c r="F36" s="16">
        <f>AVERAGE(D36:D37)</f>
        <v>500</v>
      </c>
      <c r="G36" s="2">
        <v>496</v>
      </c>
      <c r="H36" s="2">
        <f>54/496*100</f>
        <v>10.887096774193548</v>
      </c>
      <c r="I36" s="16">
        <f>AVERAGE(G36:G37)</f>
        <v>478</v>
      </c>
      <c r="J36" s="16">
        <f>I36</f>
        <v>478</v>
      </c>
      <c r="K36" s="16">
        <f>J36/F36</f>
        <v>0.95599999999999996</v>
      </c>
      <c r="L36" s="13">
        <f>AVERAGE(K36:K42)</f>
        <v>1.0522591728551884</v>
      </c>
      <c r="M36" s="13">
        <f>STDEV(K36:K42)</f>
        <v>9.6429259742039711E-2</v>
      </c>
    </row>
    <row r="37" spans="1:13" x14ac:dyDescent="0.2">
      <c r="A37" s="18"/>
      <c r="B37" s="17"/>
      <c r="C37" s="2">
        <v>2</v>
      </c>
      <c r="D37" s="2">
        <v>525</v>
      </c>
      <c r="E37" s="2">
        <f>1/535*100</f>
        <v>0.18691588785046731</v>
      </c>
      <c r="F37" s="16"/>
      <c r="G37" s="2">
        <v>460</v>
      </c>
      <c r="H37" s="2">
        <f>49/460*100</f>
        <v>10.652173913043478</v>
      </c>
      <c r="I37" s="16"/>
      <c r="J37" s="16"/>
      <c r="K37" s="16"/>
      <c r="L37" s="14"/>
      <c r="M37" s="14"/>
    </row>
    <row r="38" spans="1:13" x14ac:dyDescent="0.2">
      <c r="A38" s="18"/>
      <c r="B38" s="17">
        <v>2</v>
      </c>
      <c r="C38" s="2">
        <v>1</v>
      </c>
      <c r="D38" s="2">
        <v>440</v>
      </c>
      <c r="E38" s="2">
        <f>3/440*100</f>
        <v>0.68181818181818177</v>
      </c>
      <c r="F38" s="16">
        <f>AVERAGE(D38:D39)</f>
        <v>425</v>
      </c>
      <c r="G38" s="2">
        <v>472</v>
      </c>
      <c r="H38" s="2">
        <f>50/472*100</f>
        <v>10.59322033898305</v>
      </c>
      <c r="I38" s="16">
        <f>AVERAGE(G38:G39)</f>
        <v>495.5</v>
      </c>
      <c r="J38" s="16">
        <f>I38</f>
        <v>495.5</v>
      </c>
      <c r="K38" s="16">
        <f>J38/F38</f>
        <v>1.1658823529411764</v>
      </c>
      <c r="L38" s="14"/>
      <c r="M38" s="14"/>
    </row>
    <row r="39" spans="1:13" x14ac:dyDescent="0.2">
      <c r="A39" s="18"/>
      <c r="B39" s="17"/>
      <c r="C39" s="2">
        <v>2</v>
      </c>
      <c r="D39" s="2">
        <v>410</v>
      </c>
      <c r="E39" s="2">
        <f>1/410*100</f>
        <v>0.24390243902439024</v>
      </c>
      <c r="F39" s="16"/>
      <c r="G39" s="2">
        <v>519</v>
      </c>
      <c r="H39" s="2">
        <f>45/519*100</f>
        <v>8.6705202312138727</v>
      </c>
      <c r="I39" s="16"/>
      <c r="J39" s="16"/>
      <c r="K39" s="16"/>
      <c r="L39" s="14"/>
      <c r="M39" s="14"/>
    </row>
    <row r="40" spans="1:13" x14ac:dyDescent="0.2">
      <c r="A40" s="18"/>
      <c r="B40" s="17">
        <v>3</v>
      </c>
      <c r="C40" s="2">
        <v>1</v>
      </c>
      <c r="D40" s="2">
        <v>561</v>
      </c>
      <c r="E40" s="2">
        <f>5/561*100</f>
        <v>0.89126559714795017</v>
      </c>
      <c r="F40" s="16">
        <f>AVERAGE(D40:D41)</f>
        <v>544</v>
      </c>
      <c r="G40" s="2">
        <v>580</v>
      </c>
      <c r="H40" s="2">
        <f>53/580*100</f>
        <v>9.137931034482758</v>
      </c>
      <c r="I40" s="16">
        <f>AVERAGE(G40:G41)</f>
        <v>539</v>
      </c>
      <c r="J40" s="16">
        <f>I40</f>
        <v>539</v>
      </c>
      <c r="K40" s="16">
        <f>J40/F40</f>
        <v>0.9908088235294118</v>
      </c>
      <c r="L40" s="14"/>
      <c r="M40" s="14"/>
    </row>
    <row r="41" spans="1:13" x14ac:dyDescent="0.2">
      <c r="A41" s="18"/>
      <c r="B41" s="17"/>
      <c r="C41" s="2">
        <v>2</v>
      </c>
      <c r="D41" s="2">
        <v>527</v>
      </c>
      <c r="E41" s="2">
        <f>5/527*100</f>
        <v>0.94876660341555974</v>
      </c>
      <c r="F41" s="16"/>
      <c r="G41" s="2">
        <v>498</v>
      </c>
      <c r="H41" s="2">
        <f>49/498*100</f>
        <v>9.8393574297188753</v>
      </c>
      <c r="I41" s="16"/>
      <c r="J41" s="16"/>
      <c r="K41" s="16"/>
      <c r="L41" s="14"/>
      <c r="M41" s="14"/>
    </row>
    <row r="42" spans="1:13" x14ac:dyDescent="0.2">
      <c r="A42" s="18"/>
      <c r="B42" s="17">
        <v>4</v>
      </c>
      <c r="C42" s="2">
        <v>1</v>
      </c>
      <c r="D42" s="2">
        <v>316</v>
      </c>
      <c r="E42" s="2">
        <v>0</v>
      </c>
      <c r="F42" s="16">
        <f>AVERAGE(D42:D43)</f>
        <v>301</v>
      </c>
      <c r="G42" s="7">
        <v>335</v>
      </c>
      <c r="H42" s="2">
        <f>42/335*100</f>
        <v>12.53731343283582</v>
      </c>
      <c r="I42" s="16">
        <f>AVERAGE(G42:G43)</f>
        <v>330</v>
      </c>
      <c r="J42" s="16">
        <f>I42</f>
        <v>330</v>
      </c>
      <c r="K42" s="16">
        <f>J42/F42</f>
        <v>1.0963455149501662</v>
      </c>
      <c r="L42" s="14"/>
      <c r="M42" s="14"/>
    </row>
    <row r="43" spans="1:13" x14ac:dyDescent="0.2">
      <c r="A43" s="18"/>
      <c r="B43" s="17"/>
      <c r="C43" s="2">
        <v>2</v>
      </c>
      <c r="D43" s="2">
        <v>286</v>
      </c>
      <c r="E43" s="2">
        <f>3/286*100</f>
        <v>1.048951048951049</v>
      </c>
      <c r="F43" s="16"/>
      <c r="G43" s="7">
        <v>325</v>
      </c>
      <c r="H43" s="2">
        <f>39/325*100</f>
        <v>12</v>
      </c>
      <c r="I43" s="16"/>
      <c r="J43" s="16"/>
      <c r="K43" s="16"/>
      <c r="L43" s="15"/>
      <c r="M43" s="15"/>
    </row>
    <row r="45" spans="1:13" x14ac:dyDescent="0.2">
      <c r="A45" s="4" t="s">
        <v>12</v>
      </c>
      <c r="B45" s="4" t="s">
        <v>11</v>
      </c>
      <c r="C45" s="4" t="s">
        <v>10</v>
      </c>
      <c r="D45" s="4" t="s">
        <v>9</v>
      </c>
      <c r="E45" s="4" t="s">
        <v>8</v>
      </c>
      <c r="F45" s="4" t="s">
        <v>7</v>
      </c>
      <c r="G45" s="4" t="s">
        <v>6</v>
      </c>
      <c r="H45" s="4" t="s">
        <v>5</v>
      </c>
      <c r="I45" s="4" t="s">
        <v>4</v>
      </c>
      <c r="J45" s="4" t="s">
        <v>3</v>
      </c>
      <c r="K45" s="4" t="s">
        <v>2</v>
      </c>
      <c r="L45" s="3" t="s">
        <v>1</v>
      </c>
      <c r="M45" s="3" t="s">
        <v>0</v>
      </c>
    </row>
    <row r="46" spans="1:13" x14ac:dyDescent="0.2">
      <c r="A46" s="18" t="s">
        <v>34</v>
      </c>
      <c r="B46" s="17">
        <v>1</v>
      </c>
      <c r="C46" s="2">
        <v>1</v>
      </c>
      <c r="D46" s="2">
        <v>114</v>
      </c>
      <c r="E46" s="2">
        <v>0</v>
      </c>
      <c r="F46" s="16">
        <f>AVERAGE(D46:D47)</f>
        <v>111.5</v>
      </c>
      <c r="G46" s="2">
        <v>122</v>
      </c>
      <c r="H46" s="2">
        <v>0</v>
      </c>
      <c r="I46" s="16">
        <f>AVERAGE(G46:G47)</f>
        <v>116</v>
      </c>
      <c r="J46" s="16">
        <f>I46</f>
        <v>116</v>
      </c>
      <c r="K46" s="16">
        <f>J46/F46</f>
        <v>1.0403587443946187</v>
      </c>
      <c r="L46" s="13">
        <f>AVERAGE(K46:K53)</f>
        <v>1.0589076070129728</v>
      </c>
      <c r="M46" s="13">
        <f>STDEV(K46:K52)</f>
        <v>3.3113865171462156E-2</v>
      </c>
    </row>
    <row r="47" spans="1:13" x14ac:dyDescent="0.2">
      <c r="A47" s="18"/>
      <c r="B47" s="17"/>
      <c r="C47" s="2">
        <v>2</v>
      </c>
      <c r="D47" s="2">
        <v>109</v>
      </c>
      <c r="E47" s="2">
        <v>0</v>
      </c>
      <c r="F47" s="16"/>
      <c r="G47" s="2">
        <v>110</v>
      </c>
      <c r="H47" s="2">
        <v>0</v>
      </c>
      <c r="I47" s="16"/>
      <c r="J47" s="16"/>
      <c r="K47" s="16"/>
      <c r="L47" s="14"/>
      <c r="M47" s="14"/>
    </row>
    <row r="48" spans="1:13" x14ac:dyDescent="0.2">
      <c r="A48" s="18"/>
      <c r="B48" s="17">
        <v>2</v>
      </c>
      <c r="C48" s="2">
        <v>1</v>
      </c>
      <c r="D48" s="2">
        <v>133</v>
      </c>
      <c r="E48" s="2">
        <f>31/133*100</f>
        <v>23.308270676691727</v>
      </c>
      <c r="F48" s="16">
        <f>AVERAGE(D48:D49)</f>
        <v>138.5</v>
      </c>
      <c r="G48" s="2">
        <v>158</v>
      </c>
      <c r="H48" s="2">
        <f>1/158*100</f>
        <v>0.63291139240506333</v>
      </c>
      <c r="I48" s="16">
        <f>AVERAGE(G48:G49)</f>
        <v>147.5</v>
      </c>
      <c r="J48" s="16">
        <f>I48</f>
        <v>147.5</v>
      </c>
      <c r="K48" s="16">
        <f>J48/F48</f>
        <v>1.0649819494584838</v>
      </c>
      <c r="L48" s="14"/>
      <c r="M48" s="14"/>
    </row>
    <row r="49" spans="1:13" x14ac:dyDescent="0.2">
      <c r="A49" s="18"/>
      <c r="B49" s="17"/>
      <c r="C49" s="2">
        <v>2</v>
      </c>
      <c r="D49" s="2">
        <v>144</v>
      </c>
      <c r="E49" s="2">
        <f>30/144*100</f>
        <v>20.833333333333336</v>
      </c>
      <c r="F49" s="16"/>
      <c r="G49" s="2">
        <v>137</v>
      </c>
      <c r="H49" s="2">
        <v>0</v>
      </c>
      <c r="I49" s="16"/>
      <c r="J49" s="16"/>
      <c r="K49" s="16"/>
      <c r="L49" s="14"/>
      <c r="M49" s="14"/>
    </row>
    <row r="50" spans="1:13" x14ac:dyDescent="0.2">
      <c r="A50" s="18"/>
      <c r="B50" s="17">
        <v>3</v>
      </c>
      <c r="C50" s="2">
        <v>1</v>
      </c>
      <c r="D50" s="2">
        <v>101</v>
      </c>
      <c r="E50" s="2">
        <f>1/101*100</f>
        <v>0.99009900990099009</v>
      </c>
      <c r="F50" s="16">
        <f>AVERAGE(D50:D51)</f>
        <v>109</v>
      </c>
      <c r="G50" s="2">
        <v>98</v>
      </c>
      <c r="H50" s="2">
        <f>2/98*100</f>
        <v>2.0408163265306123</v>
      </c>
      <c r="I50" s="16">
        <f>AVERAGE(G50:G51)</f>
        <v>112</v>
      </c>
      <c r="J50" s="16">
        <f>I50</f>
        <v>112</v>
      </c>
      <c r="K50" s="16">
        <f>J50/F50</f>
        <v>1.0275229357798166</v>
      </c>
      <c r="L50" s="14"/>
      <c r="M50" s="14"/>
    </row>
    <row r="51" spans="1:13" x14ac:dyDescent="0.2">
      <c r="A51" s="18"/>
      <c r="B51" s="17"/>
      <c r="C51" s="2">
        <v>2</v>
      </c>
      <c r="D51" s="2">
        <v>117</v>
      </c>
      <c r="E51" s="2">
        <v>0</v>
      </c>
      <c r="F51" s="16"/>
      <c r="G51" s="2">
        <v>126</v>
      </c>
      <c r="H51" s="2">
        <f>1/126*100</f>
        <v>0.79365079365079361</v>
      </c>
      <c r="I51" s="16"/>
      <c r="J51" s="16"/>
      <c r="K51" s="16"/>
      <c r="L51" s="14"/>
      <c r="M51" s="14"/>
    </row>
    <row r="52" spans="1:13" x14ac:dyDescent="0.2">
      <c r="A52" s="18"/>
      <c r="B52" s="17">
        <v>4</v>
      </c>
      <c r="C52" s="2">
        <v>1</v>
      </c>
      <c r="D52" s="2">
        <v>118</v>
      </c>
      <c r="E52" s="2">
        <v>0</v>
      </c>
      <c r="F52" s="16">
        <f>AVERAGE(D52:D53)</f>
        <v>126.5</v>
      </c>
      <c r="G52" s="7">
        <v>112</v>
      </c>
      <c r="H52" s="2">
        <f>2/112*100</f>
        <v>1.7857142857142856</v>
      </c>
      <c r="I52" s="16">
        <f>AVERAGE(G52:G53)</f>
        <v>139.5</v>
      </c>
      <c r="J52" s="16">
        <f>I52</f>
        <v>139.5</v>
      </c>
      <c r="K52" s="16">
        <f>J52/F52</f>
        <v>1.1027667984189724</v>
      </c>
      <c r="L52" s="14"/>
      <c r="M52" s="14"/>
    </row>
    <row r="53" spans="1:13" x14ac:dyDescent="0.2">
      <c r="A53" s="18"/>
      <c r="B53" s="17"/>
      <c r="C53" s="2">
        <v>2</v>
      </c>
      <c r="D53" s="2">
        <v>135</v>
      </c>
      <c r="E53" s="2">
        <v>0</v>
      </c>
      <c r="F53" s="16"/>
      <c r="G53" s="7">
        <v>167</v>
      </c>
      <c r="H53" s="2">
        <f>2/167*100</f>
        <v>1.1976047904191618</v>
      </c>
      <c r="I53" s="16"/>
      <c r="J53" s="16"/>
      <c r="K53" s="16"/>
      <c r="L53" s="15"/>
      <c r="M53" s="15"/>
    </row>
    <row r="55" spans="1:13" x14ac:dyDescent="0.2">
      <c r="A55" s="4" t="s">
        <v>12</v>
      </c>
      <c r="B55" s="4" t="s">
        <v>11</v>
      </c>
      <c r="C55" s="4" t="s">
        <v>10</v>
      </c>
      <c r="D55" s="4" t="s">
        <v>9</v>
      </c>
      <c r="E55" s="4" t="s">
        <v>8</v>
      </c>
      <c r="F55" s="4" t="s">
        <v>7</v>
      </c>
      <c r="G55" s="4" t="s">
        <v>6</v>
      </c>
      <c r="H55" s="4" t="s">
        <v>5</v>
      </c>
      <c r="I55" s="4" t="s">
        <v>4</v>
      </c>
      <c r="J55" s="4" t="s">
        <v>3</v>
      </c>
      <c r="K55" s="4" t="s">
        <v>2</v>
      </c>
      <c r="L55" s="3" t="s">
        <v>1</v>
      </c>
      <c r="M55" s="3" t="s">
        <v>0</v>
      </c>
    </row>
    <row r="56" spans="1:13" x14ac:dyDescent="0.2">
      <c r="A56" s="18" t="s">
        <v>16</v>
      </c>
      <c r="B56" s="17">
        <v>1</v>
      </c>
      <c r="C56" s="2">
        <v>1</v>
      </c>
      <c r="D56" s="2">
        <v>434</v>
      </c>
      <c r="E56" s="2">
        <f>4/434*100</f>
        <v>0.92165898617511521</v>
      </c>
      <c r="F56" s="16">
        <f>AVERAGE(D56:D57)</f>
        <v>416</v>
      </c>
      <c r="G56" s="2">
        <v>421</v>
      </c>
      <c r="H56" s="2">
        <f>41/421*100</f>
        <v>9.7387173396674598</v>
      </c>
      <c r="I56" s="16">
        <f>AVERAGE(G56:G57)</f>
        <v>395</v>
      </c>
      <c r="J56" s="16">
        <f>I56</f>
        <v>395</v>
      </c>
      <c r="K56" s="16">
        <f>J56/F56</f>
        <v>0.94951923076923073</v>
      </c>
      <c r="L56" s="13">
        <f>AVERAGE(K56:K62)</f>
        <v>0.98196588505694682</v>
      </c>
      <c r="M56" s="13">
        <f>STDEV(K56:K62)</f>
        <v>3.9780683806216688E-2</v>
      </c>
    </row>
    <row r="57" spans="1:13" x14ac:dyDescent="0.2">
      <c r="A57" s="18"/>
      <c r="B57" s="17"/>
      <c r="C57" s="2">
        <v>2</v>
      </c>
      <c r="D57" s="2">
        <v>398</v>
      </c>
      <c r="E57" s="2">
        <f>5/398*100</f>
        <v>1.256281407035176</v>
      </c>
      <c r="F57" s="16"/>
      <c r="G57" s="2">
        <v>369</v>
      </c>
      <c r="H57" s="2">
        <f>32/369*100</f>
        <v>8.6720867208672079</v>
      </c>
      <c r="I57" s="16"/>
      <c r="J57" s="16"/>
      <c r="K57" s="16"/>
      <c r="L57" s="14"/>
      <c r="M57" s="14"/>
    </row>
    <row r="58" spans="1:13" x14ac:dyDescent="0.2">
      <c r="A58" s="18"/>
      <c r="B58" s="17">
        <v>2</v>
      </c>
      <c r="C58" s="2">
        <v>1</v>
      </c>
      <c r="D58" s="2">
        <v>373</v>
      </c>
      <c r="E58" s="2">
        <v>0</v>
      </c>
      <c r="F58" s="16">
        <f>AVERAGE(D58:D59)</f>
        <v>348</v>
      </c>
      <c r="G58" s="2">
        <v>332</v>
      </c>
      <c r="H58" s="2">
        <f>39/332*100</f>
        <v>11.746987951807229</v>
      </c>
      <c r="I58" s="16">
        <f>AVERAGE(G58:G59)</f>
        <v>343</v>
      </c>
      <c r="J58" s="16">
        <f>I58</f>
        <v>343</v>
      </c>
      <c r="K58" s="16">
        <f>J58/F58</f>
        <v>0.98563218390804597</v>
      </c>
      <c r="L58" s="14"/>
      <c r="M58" s="14"/>
    </row>
    <row r="59" spans="1:13" x14ac:dyDescent="0.2">
      <c r="A59" s="18"/>
      <c r="B59" s="17"/>
      <c r="C59" s="2">
        <v>2</v>
      </c>
      <c r="D59" s="2">
        <v>323</v>
      </c>
      <c r="E59" s="2">
        <f>3/323*100</f>
        <v>0.92879256965944268</v>
      </c>
      <c r="F59" s="16"/>
      <c r="G59" s="2">
        <v>354</v>
      </c>
      <c r="H59" s="2">
        <f>32/354*100</f>
        <v>9.0395480225988702</v>
      </c>
      <c r="I59" s="16"/>
      <c r="J59" s="16"/>
      <c r="K59" s="16"/>
      <c r="L59" s="14"/>
      <c r="M59" s="14"/>
    </row>
    <row r="60" spans="1:13" x14ac:dyDescent="0.2">
      <c r="A60" s="18"/>
      <c r="B60" s="17">
        <v>3</v>
      </c>
      <c r="C60" s="2">
        <v>1</v>
      </c>
      <c r="D60" s="2">
        <v>508</v>
      </c>
      <c r="E60" s="2">
        <f>2/508*100</f>
        <v>0.39370078740157477</v>
      </c>
      <c r="F60" s="16">
        <f>AVERAGE(D60:D61)</f>
        <v>522</v>
      </c>
      <c r="G60" s="2">
        <v>518</v>
      </c>
      <c r="H60" s="2">
        <f>46/518*100</f>
        <v>8.8803088803088812</v>
      </c>
      <c r="I60" s="16">
        <f>AVERAGE(G60:G61)</f>
        <v>499</v>
      </c>
      <c r="J60" s="16">
        <f>I60</f>
        <v>499</v>
      </c>
      <c r="K60" s="16">
        <f>J60/F60</f>
        <v>0.95593869731800762</v>
      </c>
      <c r="L60" s="14"/>
      <c r="M60" s="14"/>
    </row>
    <row r="61" spans="1:13" x14ac:dyDescent="0.2">
      <c r="A61" s="18"/>
      <c r="B61" s="17"/>
      <c r="C61" s="2">
        <v>2</v>
      </c>
      <c r="D61" s="2">
        <v>536</v>
      </c>
      <c r="E61" s="2">
        <f>4/536*100</f>
        <v>0.74626865671641784</v>
      </c>
      <c r="F61" s="16"/>
      <c r="G61" s="2">
        <v>480</v>
      </c>
      <c r="H61" s="2">
        <f>52/480*100</f>
        <v>10.833333333333334</v>
      </c>
      <c r="I61" s="16"/>
      <c r="J61" s="16"/>
      <c r="K61" s="16"/>
      <c r="L61" s="14"/>
      <c r="M61" s="14"/>
    </row>
    <row r="62" spans="1:13" x14ac:dyDescent="0.2">
      <c r="A62" s="18"/>
      <c r="B62" s="17">
        <v>4</v>
      </c>
      <c r="C62" s="2">
        <v>1</v>
      </c>
      <c r="D62" s="2">
        <v>450</v>
      </c>
      <c r="E62" s="2">
        <f>6/450*100</f>
        <v>1.3333333333333335</v>
      </c>
      <c r="F62" s="16">
        <f>AVERAGE(D62:D63)</f>
        <v>421.5</v>
      </c>
      <c r="G62" s="7">
        <v>442</v>
      </c>
      <c r="H62" s="2">
        <f>52/442*100</f>
        <v>11.76470588235294</v>
      </c>
      <c r="I62" s="16">
        <f>AVERAGE(G62:G63)</f>
        <v>437</v>
      </c>
      <c r="J62" s="16">
        <f>I62</f>
        <v>437</v>
      </c>
      <c r="K62" s="16">
        <f>J62/F62</f>
        <v>1.036773428232503</v>
      </c>
      <c r="L62" s="14"/>
      <c r="M62" s="14"/>
    </row>
    <row r="63" spans="1:13" x14ac:dyDescent="0.2">
      <c r="A63" s="18"/>
      <c r="B63" s="17"/>
      <c r="C63" s="2">
        <v>2</v>
      </c>
      <c r="D63" s="2">
        <v>393</v>
      </c>
      <c r="E63" s="2">
        <f>2/393*100</f>
        <v>0.5089058524173028</v>
      </c>
      <c r="F63" s="16"/>
      <c r="G63" s="7">
        <v>432</v>
      </c>
      <c r="H63" s="2">
        <f>42/432*100</f>
        <v>9.7222222222222232</v>
      </c>
      <c r="I63" s="16"/>
      <c r="J63" s="16"/>
      <c r="K63" s="16"/>
      <c r="L63" s="15"/>
      <c r="M63" s="15"/>
    </row>
    <row r="65" spans="1:14" x14ac:dyDescent="0.2">
      <c r="A65" s="4" t="s">
        <v>12</v>
      </c>
      <c r="B65" s="4" t="s">
        <v>11</v>
      </c>
      <c r="C65" s="4" t="s">
        <v>10</v>
      </c>
      <c r="D65" s="4" t="s">
        <v>9</v>
      </c>
      <c r="E65" s="4" t="s">
        <v>8</v>
      </c>
      <c r="F65" s="4" t="s">
        <v>7</v>
      </c>
      <c r="G65" s="4" t="s">
        <v>6</v>
      </c>
      <c r="H65" s="4" t="s">
        <v>5</v>
      </c>
      <c r="I65" s="4" t="s">
        <v>4</v>
      </c>
      <c r="J65" s="4" t="s">
        <v>3</v>
      </c>
      <c r="K65" s="4" t="s">
        <v>2</v>
      </c>
      <c r="L65" s="3" t="s">
        <v>1</v>
      </c>
      <c r="M65" s="3" t="s">
        <v>0</v>
      </c>
      <c r="N65" s="11" t="s">
        <v>17</v>
      </c>
    </row>
    <row r="66" spans="1:14" x14ac:dyDescent="0.2">
      <c r="A66" s="18" t="s">
        <v>35</v>
      </c>
      <c r="B66" s="17">
        <v>1</v>
      </c>
      <c r="C66" s="2">
        <v>1</v>
      </c>
      <c r="D66" s="2">
        <v>240</v>
      </c>
      <c r="E66" s="2">
        <v>0</v>
      </c>
      <c r="F66" s="16">
        <f>AVERAGE(D66:D67)</f>
        <v>223</v>
      </c>
      <c r="G66" s="2">
        <v>273</v>
      </c>
      <c r="H66" s="2">
        <f>8/273*100</f>
        <v>2.9304029304029302</v>
      </c>
      <c r="I66" s="16">
        <f>AVERAGE(G66:G67)</f>
        <v>275</v>
      </c>
      <c r="J66" s="16">
        <f>I66/2</f>
        <v>137.5</v>
      </c>
      <c r="K66" s="16">
        <f>J66/F66</f>
        <v>0.61659192825112108</v>
      </c>
      <c r="L66" s="13">
        <f>AVERAGE(K66:K72)</f>
        <v>0.68024024732957544</v>
      </c>
      <c r="M66" s="13">
        <f>STDEV(K66:K72)</f>
        <v>9.345358541218815E-2</v>
      </c>
    </row>
    <row r="67" spans="1:14" x14ac:dyDescent="0.2">
      <c r="A67" s="18"/>
      <c r="B67" s="17"/>
      <c r="C67" s="2">
        <v>2</v>
      </c>
      <c r="D67" s="2">
        <v>206</v>
      </c>
      <c r="E67" s="2">
        <v>0</v>
      </c>
      <c r="F67" s="16"/>
      <c r="G67" s="2">
        <v>277</v>
      </c>
      <c r="H67" s="2">
        <f>10/277*100</f>
        <v>3.6101083032490973</v>
      </c>
      <c r="I67" s="16"/>
      <c r="J67" s="16"/>
      <c r="K67" s="16"/>
      <c r="L67" s="14"/>
      <c r="M67" s="14"/>
    </row>
    <row r="68" spans="1:14" x14ac:dyDescent="0.2">
      <c r="A68" s="18"/>
      <c r="B68" s="17">
        <v>2</v>
      </c>
      <c r="C68" s="2">
        <v>1</v>
      </c>
      <c r="D68" s="2">
        <v>296</v>
      </c>
      <c r="E68" s="2">
        <v>0</v>
      </c>
      <c r="F68" s="16">
        <f>AVERAGE(D68:D69)</f>
        <v>298</v>
      </c>
      <c r="G68" s="2">
        <v>347</v>
      </c>
      <c r="H68" s="2">
        <f>17/347*100</f>
        <v>4.8991354466858787</v>
      </c>
      <c r="I68" s="16">
        <f>AVERAGE(G68:G69)</f>
        <v>351.5</v>
      </c>
      <c r="J68" s="16">
        <f t="shared" ref="J68" si="0">I68/2</f>
        <v>175.75</v>
      </c>
      <c r="K68" s="16">
        <f>J68/F68</f>
        <v>0.58976510067114096</v>
      </c>
      <c r="L68" s="14"/>
      <c r="M68" s="14"/>
    </row>
    <row r="69" spans="1:14" x14ac:dyDescent="0.2">
      <c r="A69" s="18"/>
      <c r="B69" s="17"/>
      <c r="C69" s="2">
        <v>2</v>
      </c>
      <c r="D69" s="2">
        <v>300</v>
      </c>
      <c r="E69" s="2">
        <v>0</v>
      </c>
      <c r="F69" s="16"/>
      <c r="G69" s="2">
        <v>356</v>
      </c>
      <c r="H69" s="2">
        <f>13/356*100</f>
        <v>3.6516853932584268</v>
      </c>
      <c r="I69" s="16"/>
      <c r="J69" s="16"/>
      <c r="K69" s="16"/>
      <c r="L69" s="14"/>
      <c r="M69" s="14"/>
    </row>
    <row r="70" spans="1:14" x14ac:dyDescent="0.2">
      <c r="A70" s="18"/>
      <c r="B70" s="17">
        <v>3</v>
      </c>
      <c r="C70" s="2">
        <v>1</v>
      </c>
      <c r="D70" s="2">
        <v>297</v>
      </c>
      <c r="E70" s="2">
        <f>1/297*100</f>
        <v>0.33670033670033667</v>
      </c>
      <c r="F70" s="16">
        <f>AVERAGE(D70:D71)</f>
        <v>303</v>
      </c>
      <c r="G70" s="2">
        <v>467</v>
      </c>
      <c r="H70" s="2">
        <f>19/467*100</f>
        <v>4.0685224839400433</v>
      </c>
      <c r="I70" s="16">
        <f>AVERAGE(G70:G71)</f>
        <v>478.5</v>
      </c>
      <c r="J70" s="16">
        <f t="shared" ref="J70" si="1">I70/2</f>
        <v>239.25</v>
      </c>
      <c r="K70" s="16">
        <f>J70/F70</f>
        <v>0.78960396039603964</v>
      </c>
      <c r="L70" s="14"/>
      <c r="M70" s="14"/>
    </row>
    <row r="71" spans="1:14" x14ac:dyDescent="0.2">
      <c r="A71" s="18"/>
      <c r="B71" s="17"/>
      <c r="C71" s="2">
        <v>2</v>
      </c>
      <c r="D71" s="2">
        <v>309</v>
      </c>
      <c r="E71" s="2">
        <v>0</v>
      </c>
      <c r="F71" s="16"/>
      <c r="G71" s="2">
        <v>490</v>
      </c>
      <c r="H71" s="2">
        <f>14/490*100</f>
        <v>2.8571428571428572</v>
      </c>
      <c r="I71" s="16"/>
      <c r="J71" s="16"/>
      <c r="K71" s="16"/>
      <c r="L71" s="14"/>
      <c r="M71" s="14"/>
    </row>
    <row r="72" spans="1:14" x14ac:dyDescent="0.2">
      <c r="A72" s="18"/>
      <c r="B72" s="17">
        <v>4</v>
      </c>
      <c r="C72" s="2">
        <v>1</v>
      </c>
      <c r="D72" s="2">
        <v>148</v>
      </c>
      <c r="E72" s="2">
        <v>0</v>
      </c>
      <c r="F72" s="16">
        <f>AVERAGE(D72:D73)</f>
        <v>160</v>
      </c>
      <c r="G72" s="7">
        <v>236</v>
      </c>
      <c r="H72" s="2">
        <f>9/236*100</f>
        <v>3.8135593220338984</v>
      </c>
      <c r="I72" s="16">
        <f>AVERAGE(G72:G73)</f>
        <v>232</v>
      </c>
      <c r="J72" s="16">
        <f t="shared" ref="J72" si="2">I72/2</f>
        <v>116</v>
      </c>
      <c r="K72" s="16">
        <f>J72/F72</f>
        <v>0.72499999999999998</v>
      </c>
      <c r="L72" s="14"/>
      <c r="M72" s="14"/>
    </row>
    <row r="73" spans="1:14" x14ac:dyDescent="0.2">
      <c r="A73" s="18"/>
      <c r="B73" s="17"/>
      <c r="C73" s="2">
        <v>2</v>
      </c>
      <c r="D73" s="2">
        <v>172</v>
      </c>
      <c r="E73" s="2">
        <v>0</v>
      </c>
      <c r="F73" s="16"/>
      <c r="G73" s="7">
        <v>228</v>
      </c>
      <c r="H73" s="2">
        <f>10/228*100</f>
        <v>4.3859649122807012</v>
      </c>
      <c r="I73" s="16"/>
      <c r="J73" s="16"/>
      <c r="K73" s="16"/>
      <c r="L73" s="15"/>
      <c r="M73" s="15"/>
    </row>
    <row r="75" spans="1:14" x14ac:dyDescent="0.2">
      <c r="A75" s="4" t="s">
        <v>12</v>
      </c>
      <c r="B75" s="4" t="s">
        <v>11</v>
      </c>
      <c r="C75" s="4" t="s">
        <v>10</v>
      </c>
      <c r="D75" s="4" t="s">
        <v>9</v>
      </c>
      <c r="E75" s="4" t="s">
        <v>8</v>
      </c>
      <c r="F75" s="4" t="s">
        <v>7</v>
      </c>
      <c r="G75" s="4" t="s">
        <v>6</v>
      </c>
      <c r="H75" s="4" t="s">
        <v>5</v>
      </c>
      <c r="I75" s="4" t="s">
        <v>4</v>
      </c>
      <c r="J75" s="4" t="s">
        <v>3</v>
      </c>
      <c r="K75" s="4" t="s">
        <v>2</v>
      </c>
      <c r="L75" s="3" t="s">
        <v>1</v>
      </c>
      <c r="M75" s="3" t="s">
        <v>0</v>
      </c>
    </row>
    <row r="76" spans="1:14" x14ac:dyDescent="0.2">
      <c r="A76" s="13" t="s">
        <v>13</v>
      </c>
      <c r="B76" s="19">
        <v>1</v>
      </c>
      <c r="C76" s="2">
        <v>1</v>
      </c>
      <c r="D76" s="2">
        <v>121</v>
      </c>
      <c r="E76" s="2">
        <f>3/121*100</f>
        <v>2.4793388429752068</v>
      </c>
      <c r="F76" s="21">
        <f>AVERAGE(D76:D77)</f>
        <v>125</v>
      </c>
      <c r="G76" s="2">
        <v>116</v>
      </c>
      <c r="H76" s="2">
        <f>7/116*100</f>
        <v>6.0344827586206895</v>
      </c>
      <c r="I76" s="21">
        <f>AVERAGE(G76:G77)</f>
        <v>126.5</v>
      </c>
      <c r="J76" s="21">
        <f>I76</f>
        <v>126.5</v>
      </c>
      <c r="K76" s="21">
        <f>J76/F76</f>
        <v>1.012</v>
      </c>
      <c r="L76" s="13">
        <f>AVERAGE(K76:K84)</f>
        <v>1.0743422779493272</v>
      </c>
      <c r="M76" s="13">
        <f>STDEV(K76:K84)</f>
        <v>0.12783938771625303</v>
      </c>
    </row>
    <row r="77" spans="1:14" x14ac:dyDescent="0.2">
      <c r="A77" s="14"/>
      <c r="B77" s="20"/>
      <c r="C77" s="2">
        <v>2</v>
      </c>
      <c r="D77" s="2">
        <v>129</v>
      </c>
      <c r="E77" s="2">
        <f>5/129*100</f>
        <v>3.8759689922480618</v>
      </c>
      <c r="F77" s="22"/>
      <c r="G77" s="2">
        <v>137</v>
      </c>
      <c r="H77" s="2">
        <f>6/137*100</f>
        <v>4.3795620437956204</v>
      </c>
      <c r="I77" s="22"/>
      <c r="J77" s="22"/>
      <c r="K77" s="22"/>
      <c r="L77" s="14"/>
      <c r="M77" s="14"/>
    </row>
    <row r="78" spans="1:14" x14ac:dyDescent="0.2">
      <c r="A78" s="14"/>
      <c r="B78" s="19">
        <v>2</v>
      </c>
      <c r="C78" s="2">
        <v>1</v>
      </c>
      <c r="D78" s="2">
        <v>204</v>
      </c>
      <c r="E78" s="2">
        <f>1/204*100</f>
        <v>0.49019607843137253</v>
      </c>
      <c r="F78" s="21">
        <f>AVERAGE(D78:D79)</f>
        <v>199.5</v>
      </c>
      <c r="G78" s="2">
        <v>239</v>
      </c>
      <c r="H78" s="2">
        <f>8/239*100</f>
        <v>3.3472803347280333</v>
      </c>
      <c r="I78" s="21">
        <f>AVERAGE(G78:G79)</f>
        <v>256</v>
      </c>
      <c r="J78" s="21">
        <f>I78</f>
        <v>256</v>
      </c>
      <c r="K78" s="21">
        <f>J78/F78</f>
        <v>1.2832080200501252</v>
      </c>
      <c r="L78" s="14"/>
      <c r="M78" s="14"/>
    </row>
    <row r="79" spans="1:14" x14ac:dyDescent="0.2">
      <c r="A79" s="14"/>
      <c r="B79" s="20"/>
      <c r="C79" s="2">
        <v>2</v>
      </c>
      <c r="D79" s="2">
        <v>195</v>
      </c>
      <c r="E79" s="2">
        <v>0</v>
      </c>
      <c r="F79" s="22"/>
      <c r="G79" s="2">
        <v>273</v>
      </c>
      <c r="H79" s="2">
        <f>10/273*100</f>
        <v>3.6630036630036633</v>
      </c>
      <c r="I79" s="22"/>
      <c r="J79" s="22"/>
      <c r="K79" s="22"/>
      <c r="L79" s="14"/>
      <c r="M79" s="14"/>
    </row>
    <row r="80" spans="1:14" x14ac:dyDescent="0.2">
      <c r="A80" s="14"/>
      <c r="B80" s="19">
        <v>3</v>
      </c>
      <c r="C80" s="2">
        <v>1</v>
      </c>
      <c r="D80" s="2">
        <v>229</v>
      </c>
      <c r="E80" s="2">
        <f>1/229*100</f>
        <v>0.43668122270742354</v>
      </c>
      <c r="F80" s="21">
        <f>AVERAGE(D80:D81)</f>
        <v>243.5</v>
      </c>
      <c r="G80" s="2">
        <v>253</v>
      </c>
      <c r="H80" s="2">
        <f>11/253*100</f>
        <v>4.3478260869565215</v>
      </c>
      <c r="I80" s="21">
        <f>AVERAGE(G80:G81)</f>
        <v>243</v>
      </c>
      <c r="J80" s="21">
        <f>I80</f>
        <v>243</v>
      </c>
      <c r="K80" s="21">
        <f>J80/F80</f>
        <v>0.99794661190965095</v>
      </c>
      <c r="L80" s="14"/>
      <c r="M80" s="14"/>
    </row>
    <row r="81" spans="1:14" x14ac:dyDescent="0.2">
      <c r="A81" s="14"/>
      <c r="B81" s="20"/>
      <c r="C81" s="2">
        <v>2</v>
      </c>
      <c r="D81" s="2">
        <v>258</v>
      </c>
      <c r="E81" s="2">
        <v>0</v>
      </c>
      <c r="F81" s="22"/>
      <c r="G81" s="2">
        <v>233</v>
      </c>
      <c r="H81" s="2">
        <f>10/233*100</f>
        <v>4.2918454935622314</v>
      </c>
      <c r="I81" s="22"/>
      <c r="J81" s="22"/>
      <c r="K81" s="22"/>
      <c r="L81" s="14"/>
      <c r="M81" s="14"/>
    </row>
    <row r="82" spans="1:14" x14ac:dyDescent="0.2">
      <c r="A82" s="14"/>
      <c r="B82" s="19">
        <v>4</v>
      </c>
      <c r="C82" s="2">
        <v>1</v>
      </c>
      <c r="D82" s="2">
        <v>268</v>
      </c>
      <c r="E82" s="2">
        <v>0</v>
      </c>
      <c r="F82" s="21">
        <f>AVERAGE(D82:D83)</f>
        <v>284.5</v>
      </c>
      <c r="G82" s="2">
        <v>276</v>
      </c>
      <c r="H82" s="2">
        <f>28/276*100</f>
        <v>10.144927536231885</v>
      </c>
      <c r="I82" s="21">
        <f>AVERAGE(G82:G83)</f>
        <v>276</v>
      </c>
      <c r="J82" s="21">
        <f>I82</f>
        <v>276</v>
      </c>
      <c r="K82" s="21">
        <f>J82/F82</f>
        <v>0.97012302284710017</v>
      </c>
      <c r="L82" s="14"/>
      <c r="M82" s="14"/>
    </row>
    <row r="83" spans="1:14" x14ac:dyDescent="0.2">
      <c r="A83" s="14"/>
      <c r="B83" s="20"/>
      <c r="C83" s="2">
        <v>2</v>
      </c>
      <c r="D83" s="2">
        <v>301</v>
      </c>
      <c r="E83" s="2">
        <f>1/301*100</f>
        <v>0.33222591362126247</v>
      </c>
      <c r="F83" s="22"/>
      <c r="G83" s="2">
        <v>276</v>
      </c>
      <c r="H83" s="2">
        <f>16/276*100</f>
        <v>5.7971014492753623</v>
      </c>
      <c r="I83" s="22"/>
      <c r="J83" s="22"/>
      <c r="K83" s="22"/>
      <c r="L83" s="14"/>
      <c r="M83" s="14"/>
    </row>
    <row r="84" spans="1:14" x14ac:dyDescent="0.2">
      <c r="A84" s="14"/>
      <c r="B84" s="19">
        <v>5</v>
      </c>
      <c r="C84" s="2">
        <v>1</v>
      </c>
      <c r="D84" s="2">
        <v>211</v>
      </c>
      <c r="E84" s="2">
        <f>1/211*100</f>
        <v>0.47393364928909953</v>
      </c>
      <c r="F84" s="21">
        <f>AVERAGE(D84:D85)</f>
        <v>207.5</v>
      </c>
      <c r="G84" s="2">
        <v>214</v>
      </c>
      <c r="H84" s="2">
        <f>16/214*100</f>
        <v>7.4766355140186906</v>
      </c>
      <c r="I84" s="21">
        <f>AVERAGE(G84:G85)</f>
        <v>230</v>
      </c>
      <c r="J84" s="21">
        <f>I84</f>
        <v>230</v>
      </c>
      <c r="K84" s="21">
        <f>J84/F84</f>
        <v>1.1084337349397591</v>
      </c>
      <c r="L84" s="14"/>
      <c r="M84" s="14"/>
    </row>
    <row r="85" spans="1:14" x14ac:dyDescent="0.2">
      <c r="A85" s="15"/>
      <c r="B85" s="20"/>
      <c r="C85" s="2">
        <v>2</v>
      </c>
      <c r="D85" s="2">
        <v>204</v>
      </c>
      <c r="E85" s="2">
        <f>2/204*100</f>
        <v>0.98039215686274506</v>
      </c>
      <c r="F85" s="22"/>
      <c r="G85" s="2">
        <v>246</v>
      </c>
      <c r="H85" s="2">
        <f>27/246*100</f>
        <v>10.975609756097562</v>
      </c>
      <c r="I85" s="22"/>
      <c r="J85" s="22"/>
      <c r="K85" s="22"/>
      <c r="L85" s="15"/>
      <c r="M85" s="15"/>
    </row>
    <row r="87" spans="1:14" x14ac:dyDescent="0.2">
      <c r="A87" s="4" t="s">
        <v>12</v>
      </c>
      <c r="B87" s="4" t="s">
        <v>11</v>
      </c>
      <c r="C87" s="4" t="s">
        <v>10</v>
      </c>
      <c r="D87" s="4" t="s">
        <v>9</v>
      </c>
      <c r="E87" s="4" t="s">
        <v>8</v>
      </c>
      <c r="F87" s="4" t="s">
        <v>7</v>
      </c>
      <c r="G87" s="4" t="s">
        <v>6</v>
      </c>
      <c r="H87" s="4" t="s">
        <v>5</v>
      </c>
      <c r="I87" s="4" t="s">
        <v>4</v>
      </c>
      <c r="J87" s="4" t="s">
        <v>3</v>
      </c>
      <c r="K87" s="4" t="s">
        <v>2</v>
      </c>
      <c r="L87" s="3" t="s">
        <v>1</v>
      </c>
      <c r="M87" s="3" t="s">
        <v>0</v>
      </c>
      <c r="N87" s="11" t="s">
        <v>18</v>
      </c>
    </row>
    <row r="88" spans="1:14" x14ac:dyDescent="0.2">
      <c r="A88" s="18" t="s">
        <v>36</v>
      </c>
      <c r="B88" s="17">
        <v>1</v>
      </c>
      <c r="C88" s="2">
        <v>1</v>
      </c>
      <c r="D88" s="2">
        <v>276</v>
      </c>
      <c r="E88" s="2">
        <f>1/276*100</f>
        <v>0.36231884057971014</v>
      </c>
      <c r="F88" s="16">
        <f>AVERAGE(D88:D89)</f>
        <v>274.5</v>
      </c>
      <c r="G88" s="2">
        <v>191</v>
      </c>
      <c r="H88" s="2">
        <f>9/191*100</f>
        <v>4.7120418848167542</v>
      </c>
      <c r="I88" s="16">
        <f>AVERAGE(G88:G89)</f>
        <v>203</v>
      </c>
      <c r="J88" s="16">
        <f>I88/2.5</f>
        <v>81.2</v>
      </c>
      <c r="K88" s="16">
        <f>J88/F88</f>
        <v>0.29581056466302369</v>
      </c>
      <c r="L88" s="13">
        <f>AVERAGE(K88:K95)</f>
        <v>0.35249239095715479</v>
      </c>
      <c r="M88" s="13">
        <f>STDEV(K88:K95)</f>
        <v>4.6147177545557944E-2</v>
      </c>
    </row>
    <row r="89" spans="1:14" x14ac:dyDescent="0.2">
      <c r="A89" s="18"/>
      <c r="B89" s="17"/>
      <c r="C89" s="2">
        <v>2</v>
      </c>
      <c r="D89" s="2">
        <v>273</v>
      </c>
      <c r="E89" s="2">
        <f>1/D89*100</f>
        <v>0.36630036630036628</v>
      </c>
      <c r="F89" s="16"/>
      <c r="G89" s="2">
        <v>215</v>
      </c>
      <c r="H89" s="2">
        <f>5/215*100</f>
        <v>2.3255813953488373</v>
      </c>
      <c r="I89" s="16"/>
      <c r="J89" s="16"/>
      <c r="K89" s="16"/>
      <c r="L89" s="14"/>
      <c r="M89" s="14"/>
    </row>
    <row r="90" spans="1:14" x14ac:dyDescent="0.2">
      <c r="A90" s="18"/>
      <c r="B90" s="17">
        <v>2</v>
      </c>
      <c r="C90" s="2">
        <v>1</v>
      </c>
      <c r="D90" s="2">
        <v>110</v>
      </c>
      <c r="E90" s="2">
        <v>0</v>
      </c>
      <c r="F90" s="16">
        <f>AVERAGE(D90:D91)</f>
        <v>117</v>
      </c>
      <c r="G90" s="2">
        <v>116</v>
      </c>
      <c r="H90" s="2">
        <f>6/116*100</f>
        <v>5.1724137931034484</v>
      </c>
      <c r="I90" s="16">
        <f>AVERAGE(G90:G91)</f>
        <v>113</v>
      </c>
      <c r="J90" s="16">
        <f t="shared" ref="J90" si="3">I90/2.5</f>
        <v>45.2</v>
      </c>
      <c r="K90" s="16">
        <f t="shared" ref="K90" si="4">J90/F90</f>
        <v>0.38632478632478634</v>
      </c>
      <c r="L90" s="14"/>
      <c r="M90" s="14"/>
    </row>
    <row r="91" spans="1:14" x14ac:dyDescent="0.2">
      <c r="A91" s="18"/>
      <c r="B91" s="17"/>
      <c r="C91" s="2">
        <v>2</v>
      </c>
      <c r="D91" s="2">
        <v>124</v>
      </c>
      <c r="E91" s="2">
        <v>0</v>
      </c>
      <c r="F91" s="16"/>
      <c r="G91" s="2">
        <v>110</v>
      </c>
      <c r="H91" s="2">
        <v>0</v>
      </c>
      <c r="I91" s="16"/>
      <c r="J91" s="16"/>
      <c r="K91" s="16"/>
      <c r="L91" s="14"/>
      <c r="M91" s="14"/>
    </row>
    <row r="92" spans="1:14" x14ac:dyDescent="0.2">
      <c r="A92" s="18"/>
      <c r="B92" s="17">
        <v>3</v>
      </c>
      <c r="C92" s="2">
        <v>1</v>
      </c>
      <c r="D92" s="2">
        <v>234</v>
      </c>
      <c r="E92" s="2">
        <v>0</v>
      </c>
      <c r="F92" s="16">
        <f>AVERAGE(D92:D93)</f>
        <v>240</v>
      </c>
      <c r="G92" s="2">
        <v>176</v>
      </c>
      <c r="H92" s="2">
        <f>9/176*100</f>
        <v>5.1136363636363642</v>
      </c>
      <c r="I92" s="16">
        <f>AVERAGE(G92:G93)</f>
        <v>200.5</v>
      </c>
      <c r="J92" s="16">
        <f t="shared" ref="J92" si="5">I92/2.5</f>
        <v>80.2</v>
      </c>
      <c r="K92" s="16">
        <f t="shared" ref="K92" si="6">J92/F92</f>
        <v>0.33416666666666667</v>
      </c>
      <c r="L92" s="14"/>
      <c r="M92" s="14"/>
    </row>
    <row r="93" spans="1:14" x14ac:dyDescent="0.2">
      <c r="A93" s="18"/>
      <c r="B93" s="17"/>
      <c r="C93" s="2">
        <v>2</v>
      </c>
      <c r="D93" s="2">
        <v>246</v>
      </c>
      <c r="E93" s="2">
        <v>0</v>
      </c>
      <c r="F93" s="16"/>
      <c r="G93" s="2">
        <v>225</v>
      </c>
      <c r="H93" s="2">
        <f>12/225*100</f>
        <v>5.3333333333333339</v>
      </c>
      <c r="I93" s="16"/>
      <c r="J93" s="16"/>
      <c r="K93" s="16"/>
      <c r="L93" s="14"/>
      <c r="M93" s="14"/>
    </row>
    <row r="94" spans="1:14" x14ac:dyDescent="0.2">
      <c r="A94" s="18"/>
      <c r="B94" s="17">
        <v>4</v>
      </c>
      <c r="C94" s="2">
        <v>1</v>
      </c>
      <c r="D94" s="2">
        <v>182</v>
      </c>
      <c r="E94" s="2">
        <v>0</v>
      </c>
      <c r="F94" s="16">
        <f>AVERAGE(D94:D95)</f>
        <v>189.5</v>
      </c>
      <c r="G94" s="7">
        <v>183</v>
      </c>
      <c r="H94" s="2">
        <f>9/183*100</f>
        <v>4.918032786885246</v>
      </c>
      <c r="I94" s="16">
        <f>AVERAGE(G94:G95)</f>
        <v>186.5</v>
      </c>
      <c r="J94" s="16">
        <f t="shared" ref="J94" si="7">I94/2.5</f>
        <v>74.599999999999994</v>
      </c>
      <c r="K94" s="16">
        <f t="shared" ref="K94" si="8">J94/F94</f>
        <v>0.39366754617414246</v>
      </c>
      <c r="L94" s="14"/>
      <c r="M94" s="14"/>
    </row>
    <row r="95" spans="1:14" x14ac:dyDescent="0.2">
      <c r="A95" s="18"/>
      <c r="B95" s="17"/>
      <c r="C95" s="2">
        <v>2</v>
      </c>
      <c r="D95" s="2">
        <v>197</v>
      </c>
      <c r="E95" s="2">
        <v>0</v>
      </c>
      <c r="F95" s="16"/>
      <c r="G95" s="7">
        <v>190</v>
      </c>
      <c r="H95" s="2">
        <f>12/190*100</f>
        <v>6.3157894736842106</v>
      </c>
      <c r="I95" s="16"/>
      <c r="J95" s="16"/>
      <c r="K95" s="16"/>
      <c r="L95" s="15"/>
      <c r="M95" s="15"/>
    </row>
    <row r="97" spans="1:14" x14ac:dyDescent="0.2">
      <c r="A97" s="4" t="s">
        <v>12</v>
      </c>
      <c r="B97" s="4" t="s">
        <v>11</v>
      </c>
      <c r="C97" s="4" t="s">
        <v>10</v>
      </c>
      <c r="D97" s="4" t="s">
        <v>9</v>
      </c>
      <c r="E97" s="4" t="s">
        <v>8</v>
      </c>
      <c r="F97" s="4" t="s">
        <v>7</v>
      </c>
      <c r="G97" s="4" t="s">
        <v>6</v>
      </c>
      <c r="H97" s="4" t="s">
        <v>5</v>
      </c>
      <c r="I97" s="4" t="s">
        <v>4</v>
      </c>
      <c r="J97" s="4" t="s">
        <v>3</v>
      </c>
      <c r="K97" s="4" t="s">
        <v>2</v>
      </c>
      <c r="L97" s="3" t="s">
        <v>1</v>
      </c>
      <c r="M97" s="3" t="s">
        <v>0</v>
      </c>
    </row>
    <row r="98" spans="1:14" x14ac:dyDescent="0.2">
      <c r="A98" s="13" t="s">
        <v>19</v>
      </c>
      <c r="B98" s="19">
        <v>1</v>
      </c>
      <c r="C98" s="2">
        <v>1</v>
      </c>
      <c r="D98" s="2">
        <v>200</v>
      </c>
      <c r="E98" s="2">
        <v>0</v>
      </c>
      <c r="F98" s="21">
        <f>AVERAGE(D98:D99)</f>
        <v>175</v>
      </c>
      <c r="G98" s="2">
        <v>221</v>
      </c>
      <c r="H98" s="2">
        <f>9/221*100</f>
        <v>4.0723981900452486</v>
      </c>
      <c r="I98" s="21">
        <f>AVERAGE(G98:G99)</f>
        <v>209.5</v>
      </c>
      <c r="J98" s="21">
        <f>I98</f>
        <v>209.5</v>
      </c>
      <c r="K98" s="21">
        <f>J98/F98</f>
        <v>1.1971428571428571</v>
      </c>
      <c r="L98" s="13">
        <f>AVERAGE(K98:K107)</f>
        <v>1.0771994452821345</v>
      </c>
      <c r="M98" s="13">
        <f>STDEV(K98:K107)</f>
        <v>0.1382417646478154</v>
      </c>
    </row>
    <row r="99" spans="1:14" x14ac:dyDescent="0.2">
      <c r="A99" s="14"/>
      <c r="B99" s="20"/>
      <c r="C99" s="2">
        <v>2</v>
      </c>
      <c r="D99" s="2">
        <v>150</v>
      </c>
      <c r="E99" s="2">
        <v>0</v>
      </c>
      <c r="F99" s="22"/>
      <c r="G99" s="2">
        <v>198</v>
      </c>
      <c r="H99" s="2">
        <f>13/198*100</f>
        <v>6.5656565656565666</v>
      </c>
      <c r="I99" s="22"/>
      <c r="J99" s="22"/>
      <c r="K99" s="22"/>
      <c r="L99" s="14"/>
      <c r="M99" s="14"/>
    </row>
    <row r="100" spans="1:14" x14ac:dyDescent="0.2">
      <c r="A100" s="14"/>
      <c r="B100" s="19">
        <v>2</v>
      </c>
      <c r="C100" s="2">
        <v>1</v>
      </c>
      <c r="D100" s="2">
        <v>126</v>
      </c>
      <c r="E100" s="2">
        <f>3/126*100</f>
        <v>2.3809523809523809</v>
      </c>
      <c r="F100" s="21">
        <f>AVERAGE(D100:D101)</f>
        <v>124.5</v>
      </c>
      <c r="G100" s="2">
        <v>150</v>
      </c>
      <c r="H100" s="2">
        <f>10/150*100</f>
        <v>6.666666666666667</v>
      </c>
      <c r="I100" s="21">
        <f>AVERAGE(G100:G101)</f>
        <v>152.5</v>
      </c>
      <c r="J100" s="21">
        <f>I100</f>
        <v>152.5</v>
      </c>
      <c r="K100" s="21">
        <f>J100/F100</f>
        <v>1.2248995983935742</v>
      </c>
      <c r="L100" s="14"/>
      <c r="M100" s="14"/>
    </row>
    <row r="101" spans="1:14" x14ac:dyDescent="0.2">
      <c r="A101" s="14"/>
      <c r="B101" s="20"/>
      <c r="C101" s="2">
        <v>2</v>
      </c>
      <c r="D101" s="2">
        <v>123</v>
      </c>
      <c r="E101" s="2">
        <f>2/123*100</f>
        <v>1.6260162601626018</v>
      </c>
      <c r="F101" s="22"/>
      <c r="G101" s="2">
        <v>155</v>
      </c>
      <c r="H101" s="2">
        <f>7/155*100</f>
        <v>4.5161290322580641</v>
      </c>
      <c r="I101" s="22"/>
      <c r="J101" s="22"/>
      <c r="K101" s="22"/>
      <c r="L101" s="14"/>
      <c r="M101" s="14"/>
    </row>
    <row r="102" spans="1:14" x14ac:dyDescent="0.2">
      <c r="A102" s="14"/>
      <c r="B102" s="19">
        <v>3</v>
      </c>
      <c r="C102" s="2">
        <v>1</v>
      </c>
      <c r="D102" s="2">
        <v>142</v>
      </c>
      <c r="E102" s="2">
        <f>2/142*100</f>
        <v>1.4084507042253522</v>
      </c>
      <c r="F102" s="21">
        <f>AVERAGE(D102:D103)</f>
        <v>131.5</v>
      </c>
      <c r="G102" s="2">
        <v>112</v>
      </c>
      <c r="H102" s="2">
        <f>3/112*100</f>
        <v>2.6785714285714284</v>
      </c>
      <c r="I102" s="21">
        <f>AVERAGE(G102:G103)</f>
        <v>118</v>
      </c>
      <c r="J102" s="21">
        <f>I102</f>
        <v>118</v>
      </c>
      <c r="K102" s="21">
        <f>J102/F102</f>
        <v>0.89733840304182511</v>
      </c>
      <c r="L102" s="14"/>
      <c r="M102" s="14"/>
    </row>
    <row r="103" spans="1:14" x14ac:dyDescent="0.2">
      <c r="A103" s="14"/>
      <c r="B103" s="20"/>
      <c r="C103" s="2">
        <v>2</v>
      </c>
      <c r="D103" s="2">
        <v>121</v>
      </c>
      <c r="E103" s="2">
        <f>1/121*100</f>
        <v>0.82644628099173556</v>
      </c>
      <c r="F103" s="22"/>
      <c r="G103" s="2">
        <v>124</v>
      </c>
      <c r="H103" s="2">
        <f>7/124*100</f>
        <v>5.6451612903225801</v>
      </c>
      <c r="I103" s="22"/>
      <c r="J103" s="22"/>
      <c r="K103" s="22"/>
      <c r="L103" s="14"/>
      <c r="M103" s="14"/>
    </row>
    <row r="104" spans="1:14" x14ac:dyDescent="0.2">
      <c r="A104" s="14"/>
      <c r="B104" s="19">
        <v>4</v>
      </c>
      <c r="C104" s="2">
        <v>1</v>
      </c>
      <c r="D104" s="2">
        <v>259</v>
      </c>
      <c r="E104" s="2">
        <f>2/259*100</f>
        <v>0.77220077220077221</v>
      </c>
      <c r="F104" s="21">
        <f>AVERAGE(D104:D105)</f>
        <v>262</v>
      </c>
      <c r="G104" s="2">
        <v>273</v>
      </c>
      <c r="H104" s="2">
        <f>18/273*100</f>
        <v>6.593406593406594</v>
      </c>
      <c r="I104" s="21">
        <f>AVERAGE(G104:G105)</f>
        <v>282.5</v>
      </c>
      <c r="J104" s="21">
        <f>I104</f>
        <v>282.5</v>
      </c>
      <c r="K104" s="21">
        <f>J104/F104</f>
        <v>1.0782442748091603</v>
      </c>
      <c r="L104" s="14"/>
      <c r="M104" s="14"/>
    </row>
    <row r="105" spans="1:14" x14ac:dyDescent="0.2">
      <c r="A105" s="14"/>
      <c r="B105" s="20"/>
      <c r="C105" s="2">
        <v>2</v>
      </c>
      <c r="D105" s="2">
        <v>265</v>
      </c>
      <c r="E105" s="2">
        <f>1/265*100</f>
        <v>0.37735849056603776</v>
      </c>
      <c r="F105" s="22"/>
      <c r="G105" s="2">
        <v>292</v>
      </c>
      <c r="H105" s="2">
        <f>22/292*100</f>
        <v>7.5342465753424657</v>
      </c>
      <c r="I105" s="22"/>
      <c r="J105" s="22"/>
      <c r="K105" s="22"/>
      <c r="L105" s="14"/>
      <c r="M105" s="14"/>
    </row>
    <row r="106" spans="1:14" x14ac:dyDescent="0.2">
      <c r="A106" s="14"/>
      <c r="B106" s="19">
        <v>5</v>
      </c>
      <c r="C106" s="2">
        <v>1</v>
      </c>
      <c r="D106" s="2">
        <v>253</v>
      </c>
      <c r="E106" s="2">
        <v>0</v>
      </c>
      <c r="F106" s="21">
        <f>AVERAGE(D106:D107)</f>
        <v>258</v>
      </c>
      <c r="G106" s="2">
        <v>266</v>
      </c>
      <c r="H106" s="2">
        <f>12/266*100</f>
        <v>4.5112781954887211</v>
      </c>
      <c r="I106" s="21">
        <f>AVERAGE(G106:G107)</f>
        <v>255</v>
      </c>
      <c r="J106" s="21">
        <f>I106</f>
        <v>255</v>
      </c>
      <c r="K106" s="21">
        <f>J106/F106</f>
        <v>0.98837209302325579</v>
      </c>
      <c r="L106" s="14"/>
      <c r="M106" s="14"/>
    </row>
    <row r="107" spans="1:14" x14ac:dyDescent="0.2">
      <c r="A107" s="15"/>
      <c r="B107" s="20"/>
      <c r="C107" s="2">
        <v>2</v>
      </c>
      <c r="D107" s="2">
        <v>263</v>
      </c>
      <c r="E107" s="2">
        <f>2/263*100</f>
        <v>0.76045627376425851</v>
      </c>
      <c r="F107" s="22"/>
      <c r="G107" s="2">
        <v>244</v>
      </c>
      <c r="H107" s="2">
        <f>12/244*100</f>
        <v>4.918032786885246</v>
      </c>
      <c r="I107" s="22"/>
      <c r="J107" s="22"/>
      <c r="K107" s="22"/>
      <c r="L107" s="15"/>
      <c r="M107" s="15"/>
    </row>
    <row r="109" spans="1:14" x14ac:dyDescent="0.2">
      <c r="A109" s="4" t="s">
        <v>12</v>
      </c>
      <c r="B109" s="4" t="s">
        <v>11</v>
      </c>
      <c r="C109" s="4" t="s">
        <v>10</v>
      </c>
      <c r="D109" s="4" t="s">
        <v>9</v>
      </c>
      <c r="E109" s="4" t="s">
        <v>8</v>
      </c>
      <c r="F109" s="4" t="s">
        <v>7</v>
      </c>
      <c r="G109" s="4" t="s">
        <v>6</v>
      </c>
      <c r="H109" s="4" t="s">
        <v>5</v>
      </c>
      <c r="I109" s="4" t="s">
        <v>4</v>
      </c>
      <c r="J109" s="4" t="s">
        <v>3</v>
      </c>
      <c r="K109" s="4" t="s">
        <v>2</v>
      </c>
      <c r="L109" s="3" t="s">
        <v>1</v>
      </c>
      <c r="M109" s="3" t="s">
        <v>0</v>
      </c>
      <c r="N109" s="11" t="s">
        <v>18</v>
      </c>
    </row>
    <row r="110" spans="1:14" x14ac:dyDescent="0.2">
      <c r="A110" s="18" t="s">
        <v>37</v>
      </c>
      <c r="B110" s="17">
        <v>1</v>
      </c>
      <c r="C110" s="2">
        <v>1</v>
      </c>
      <c r="D110" s="2">
        <v>230</v>
      </c>
      <c r="E110" s="2">
        <v>0</v>
      </c>
      <c r="F110" s="16">
        <f>AVERAGE(D110:D111)</f>
        <v>228</v>
      </c>
      <c r="G110" s="2">
        <v>106</v>
      </c>
      <c r="H110" s="2">
        <f>2/106*100</f>
        <v>1.8867924528301887</v>
      </c>
      <c r="I110" s="16">
        <f>AVERAGE(G110:G111)</f>
        <v>99.5</v>
      </c>
      <c r="J110" s="16">
        <f>I110/2.5</f>
        <v>39.799999999999997</v>
      </c>
      <c r="K110" s="16">
        <f>J110/F110</f>
        <v>0.17456140350877192</v>
      </c>
      <c r="L110" s="13">
        <f>AVERAGE(K110:K117)</f>
        <v>0.23834786525513491</v>
      </c>
      <c r="M110" s="13">
        <f>STDEV(K110:K117)</f>
        <v>6.527226310929489E-2</v>
      </c>
    </row>
    <row r="111" spans="1:14" x14ac:dyDescent="0.2">
      <c r="A111" s="18"/>
      <c r="B111" s="17"/>
      <c r="C111" s="2">
        <v>2</v>
      </c>
      <c r="D111" s="2">
        <v>226</v>
      </c>
      <c r="E111" s="2">
        <v>0</v>
      </c>
      <c r="F111" s="16"/>
      <c r="G111" s="2">
        <v>93</v>
      </c>
      <c r="H111" s="2">
        <f>4/93*100</f>
        <v>4.3010752688172049</v>
      </c>
      <c r="I111" s="16"/>
      <c r="J111" s="16"/>
      <c r="K111" s="16"/>
      <c r="L111" s="14"/>
      <c r="M111" s="14"/>
    </row>
    <row r="112" spans="1:14" x14ac:dyDescent="0.2">
      <c r="A112" s="18"/>
      <c r="B112" s="17">
        <v>2</v>
      </c>
      <c r="C112" s="2">
        <v>1</v>
      </c>
      <c r="D112" s="2">
        <v>236</v>
      </c>
      <c r="E112" s="2">
        <v>0</v>
      </c>
      <c r="F112" s="16">
        <f>AVERAGE(D112:D113)</f>
        <v>210.5</v>
      </c>
      <c r="G112" s="2">
        <v>124</v>
      </c>
      <c r="H112" s="2">
        <f>5/124*100</f>
        <v>4.032258064516129</v>
      </c>
      <c r="I112" s="16">
        <f>AVERAGE(G112:G113)</f>
        <v>125</v>
      </c>
      <c r="J112" s="16">
        <f t="shared" ref="J112" si="9">I112/2.5</f>
        <v>50</v>
      </c>
      <c r="K112" s="16">
        <f t="shared" ref="K112" si="10">J112/F112</f>
        <v>0.23752969121140141</v>
      </c>
      <c r="L112" s="14"/>
      <c r="M112" s="14"/>
    </row>
    <row r="113" spans="1:13" x14ac:dyDescent="0.2">
      <c r="A113" s="18"/>
      <c r="B113" s="17"/>
      <c r="C113" s="2">
        <v>2</v>
      </c>
      <c r="D113" s="2">
        <v>185</v>
      </c>
      <c r="E113" s="2">
        <v>0</v>
      </c>
      <c r="F113" s="16"/>
      <c r="G113" s="2">
        <v>126</v>
      </c>
      <c r="H113" s="2">
        <f>3/126*100</f>
        <v>2.3809523809523809</v>
      </c>
      <c r="I113" s="16"/>
      <c r="J113" s="16"/>
      <c r="K113" s="16"/>
      <c r="L113" s="14"/>
      <c r="M113" s="14"/>
    </row>
    <row r="114" spans="1:13" x14ac:dyDescent="0.2">
      <c r="A114" s="18"/>
      <c r="B114" s="17">
        <v>3</v>
      </c>
      <c r="C114" s="2">
        <v>1</v>
      </c>
      <c r="D114" s="2">
        <v>168</v>
      </c>
      <c r="E114" s="2">
        <v>0</v>
      </c>
      <c r="F114" s="16">
        <f>AVERAGE(D114:D115)</f>
        <v>168</v>
      </c>
      <c r="G114" s="2">
        <v>89</v>
      </c>
      <c r="H114" s="2">
        <f>10/89*100</f>
        <v>11.235955056179774</v>
      </c>
      <c r="I114" s="16">
        <f>AVERAGE(G114:G115)</f>
        <v>89.5</v>
      </c>
      <c r="J114" s="16">
        <f t="shared" ref="J114" si="11">I114/2.5</f>
        <v>35.799999999999997</v>
      </c>
      <c r="K114" s="16">
        <f t="shared" ref="K114" si="12">J114/F114</f>
        <v>0.21309523809523809</v>
      </c>
      <c r="L114" s="14"/>
      <c r="M114" s="14"/>
    </row>
    <row r="115" spans="1:13" x14ac:dyDescent="0.2">
      <c r="A115" s="18"/>
      <c r="B115" s="17"/>
      <c r="C115" s="2">
        <v>2</v>
      </c>
      <c r="D115" s="2">
        <v>168</v>
      </c>
      <c r="E115" s="2">
        <v>0</v>
      </c>
      <c r="F115" s="16"/>
      <c r="G115" s="2">
        <v>90</v>
      </c>
      <c r="H115" s="2">
        <f>14/90*100</f>
        <v>15.555555555555555</v>
      </c>
      <c r="I115" s="16"/>
      <c r="J115" s="16"/>
      <c r="K115" s="16"/>
      <c r="L115" s="14"/>
      <c r="M115" s="14"/>
    </row>
    <row r="116" spans="1:13" x14ac:dyDescent="0.2">
      <c r="A116" s="18"/>
      <c r="B116" s="17">
        <v>4</v>
      </c>
      <c r="C116" s="2">
        <v>1</v>
      </c>
      <c r="D116" s="2">
        <v>131</v>
      </c>
      <c r="E116" s="2">
        <v>0</v>
      </c>
      <c r="F116" s="16">
        <f>AVERAGE(D116:D117)</f>
        <v>136.5</v>
      </c>
      <c r="G116" s="7">
        <v>109</v>
      </c>
      <c r="H116" s="2">
        <f>12/109*100</f>
        <v>11.009174311926607</v>
      </c>
      <c r="I116" s="16">
        <f>AVERAGE(G116:G117)</f>
        <v>112</v>
      </c>
      <c r="J116" s="16">
        <f t="shared" ref="J116" si="13">I116/2.5</f>
        <v>44.8</v>
      </c>
      <c r="K116" s="16">
        <f t="shared" ref="K116" si="14">J116/F116</f>
        <v>0.3282051282051282</v>
      </c>
      <c r="L116" s="14"/>
      <c r="M116" s="14"/>
    </row>
    <row r="117" spans="1:13" x14ac:dyDescent="0.2">
      <c r="A117" s="18"/>
      <c r="B117" s="17"/>
      <c r="C117" s="2">
        <v>2</v>
      </c>
      <c r="D117" s="2">
        <v>142</v>
      </c>
      <c r="E117" s="2">
        <v>0</v>
      </c>
      <c r="F117" s="16"/>
      <c r="G117" s="7">
        <v>115</v>
      </c>
      <c r="H117" s="2">
        <f>20/115*100</f>
        <v>17.391304347826086</v>
      </c>
      <c r="I117" s="16"/>
      <c r="J117" s="16"/>
      <c r="K117" s="16"/>
      <c r="L117" s="15"/>
      <c r="M117" s="15"/>
    </row>
    <row r="119" spans="1:13" x14ac:dyDescent="0.2">
      <c r="A119" s="4" t="s">
        <v>12</v>
      </c>
      <c r="B119" s="4" t="s">
        <v>11</v>
      </c>
      <c r="C119" s="4" t="s">
        <v>10</v>
      </c>
      <c r="D119" s="4" t="s">
        <v>9</v>
      </c>
      <c r="E119" s="4" t="s">
        <v>8</v>
      </c>
      <c r="F119" s="4" t="s">
        <v>7</v>
      </c>
      <c r="G119" s="4" t="s">
        <v>6</v>
      </c>
      <c r="H119" s="4" t="s">
        <v>5</v>
      </c>
      <c r="I119" s="4" t="s">
        <v>4</v>
      </c>
      <c r="J119" s="4" t="s">
        <v>3</v>
      </c>
      <c r="K119" s="4" t="s">
        <v>2</v>
      </c>
      <c r="L119" s="3" t="s">
        <v>1</v>
      </c>
      <c r="M119" s="3" t="s">
        <v>0</v>
      </c>
    </row>
    <row r="120" spans="1:13" x14ac:dyDescent="0.2">
      <c r="A120" s="13" t="s">
        <v>20</v>
      </c>
      <c r="B120" s="19">
        <v>1</v>
      </c>
      <c r="C120" s="2">
        <v>1</v>
      </c>
      <c r="D120" s="2">
        <v>197</v>
      </c>
      <c r="E120" s="2">
        <v>0</v>
      </c>
      <c r="F120" s="21">
        <f>AVERAGE(D120:D121)</f>
        <v>191.5</v>
      </c>
      <c r="G120" s="2">
        <v>220</v>
      </c>
      <c r="H120" s="2">
        <f>12/220*100</f>
        <v>5.4545454545454541</v>
      </c>
      <c r="I120" s="21">
        <f>AVERAGE(G120:G121)</f>
        <v>209</v>
      </c>
      <c r="J120" s="21">
        <f>I120</f>
        <v>209</v>
      </c>
      <c r="K120" s="21">
        <f>J120/F120</f>
        <v>1.0913838120104438</v>
      </c>
      <c r="L120" s="13">
        <f>AVERAGE(K120:K128)</f>
        <v>1.0398405619905449</v>
      </c>
      <c r="M120" s="13">
        <f>STDEV(K120:K129)</f>
        <v>6.2704082567556038E-2</v>
      </c>
    </row>
    <row r="121" spans="1:13" x14ac:dyDescent="0.2">
      <c r="A121" s="14"/>
      <c r="B121" s="20"/>
      <c r="C121" s="2">
        <v>2</v>
      </c>
      <c r="D121" s="2">
        <v>186</v>
      </c>
      <c r="E121" s="2">
        <f>1/186*100</f>
        <v>0.53763440860215062</v>
      </c>
      <c r="F121" s="22"/>
      <c r="G121" s="2">
        <v>198</v>
      </c>
      <c r="H121" s="2">
        <f>13/198*100</f>
        <v>6.5656565656565666</v>
      </c>
      <c r="I121" s="22"/>
      <c r="J121" s="22"/>
      <c r="K121" s="22"/>
      <c r="L121" s="14"/>
      <c r="M121" s="14"/>
    </row>
    <row r="122" spans="1:13" x14ac:dyDescent="0.2">
      <c r="A122" s="14"/>
      <c r="B122" s="19">
        <v>2</v>
      </c>
      <c r="C122" s="2">
        <v>1</v>
      </c>
      <c r="D122" s="2">
        <v>120</v>
      </c>
      <c r="E122" s="2">
        <v>0</v>
      </c>
      <c r="F122" s="21">
        <f>AVERAGE(D122:D123)</f>
        <v>111.5</v>
      </c>
      <c r="G122" s="2">
        <v>127</v>
      </c>
      <c r="H122" s="2">
        <f>4/127*100</f>
        <v>3.1496062992125982</v>
      </c>
      <c r="I122" s="21">
        <f>AVERAGE(G122:G123)</f>
        <v>123.5</v>
      </c>
      <c r="J122" s="21">
        <f>I122</f>
        <v>123.5</v>
      </c>
      <c r="K122" s="21">
        <f>J122/F122</f>
        <v>1.1076233183856503</v>
      </c>
      <c r="L122" s="14"/>
      <c r="M122" s="14"/>
    </row>
    <row r="123" spans="1:13" x14ac:dyDescent="0.2">
      <c r="A123" s="14"/>
      <c r="B123" s="20"/>
      <c r="C123" s="2">
        <v>2</v>
      </c>
      <c r="D123" s="2">
        <v>103</v>
      </c>
      <c r="E123" s="2">
        <v>0</v>
      </c>
      <c r="F123" s="22"/>
      <c r="G123" s="2">
        <v>120</v>
      </c>
      <c r="H123" s="2">
        <f>7/120*100</f>
        <v>5.833333333333333</v>
      </c>
      <c r="I123" s="22"/>
      <c r="J123" s="22"/>
      <c r="K123" s="22"/>
      <c r="L123" s="14"/>
      <c r="M123" s="14"/>
    </row>
    <row r="124" spans="1:13" x14ac:dyDescent="0.2">
      <c r="A124" s="14"/>
      <c r="B124" s="19">
        <v>3</v>
      </c>
      <c r="C124" s="2">
        <v>1</v>
      </c>
      <c r="D124" s="2">
        <v>162</v>
      </c>
      <c r="E124" s="2">
        <v>0</v>
      </c>
      <c r="F124" s="21">
        <f>AVERAGE(D124:D125)</f>
        <v>171</v>
      </c>
      <c r="G124" s="2">
        <v>168</v>
      </c>
      <c r="H124" s="2">
        <f>7/168*100</f>
        <v>4.1666666666666661</v>
      </c>
      <c r="I124" s="21">
        <f>AVERAGE(G124:G125)</f>
        <v>179</v>
      </c>
      <c r="J124" s="21">
        <f>I124</f>
        <v>179</v>
      </c>
      <c r="K124" s="21">
        <f>J124/F124</f>
        <v>1.0467836257309941</v>
      </c>
      <c r="L124" s="14"/>
      <c r="M124" s="14"/>
    </row>
    <row r="125" spans="1:13" x14ac:dyDescent="0.2">
      <c r="A125" s="14"/>
      <c r="B125" s="20"/>
      <c r="C125" s="2">
        <v>2</v>
      </c>
      <c r="D125" s="2">
        <v>180</v>
      </c>
      <c r="E125" s="2">
        <f>1/180*100</f>
        <v>0.55555555555555558</v>
      </c>
      <c r="F125" s="22"/>
      <c r="G125" s="2">
        <v>190</v>
      </c>
      <c r="H125" s="2">
        <f>10/190*100</f>
        <v>5.2631578947368416</v>
      </c>
      <c r="I125" s="22"/>
      <c r="J125" s="22"/>
      <c r="K125" s="22"/>
      <c r="L125" s="14"/>
      <c r="M125" s="14"/>
    </row>
    <row r="126" spans="1:13" x14ac:dyDescent="0.2">
      <c r="A126" s="14"/>
      <c r="B126" s="19">
        <v>4</v>
      </c>
      <c r="C126" s="2">
        <v>1</v>
      </c>
      <c r="D126" s="2">
        <v>255</v>
      </c>
      <c r="E126" s="2">
        <v>0</v>
      </c>
      <c r="F126" s="21">
        <f>AVERAGE(D126:D127)</f>
        <v>244</v>
      </c>
      <c r="G126" s="2">
        <v>245</v>
      </c>
      <c r="H126" s="2">
        <f>15/245*100</f>
        <v>6.1224489795918364</v>
      </c>
      <c r="I126" s="21">
        <f>AVERAGE(G126:G127)</f>
        <v>242</v>
      </c>
      <c r="J126" s="21">
        <f>I126</f>
        <v>242</v>
      </c>
      <c r="K126" s="21">
        <f>J126/F126</f>
        <v>0.99180327868852458</v>
      </c>
      <c r="L126" s="14"/>
      <c r="M126" s="14"/>
    </row>
    <row r="127" spans="1:13" x14ac:dyDescent="0.2">
      <c r="A127" s="14"/>
      <c r="B127" s="20"/>
      <c r="C127" s="2">
        <v>2</v>
      </c>
      <c r="D127" s="2">
        <v>233</v>
      </c>
      <c r="E127" s="2">
        <f>2/233*100</f>
        <v>0.85836909871244638</v>
      </c>
      <c r="F127" s="22"/>
      <c r="G127" s="2">
        <v>239</v>
      </c>
      <c r="H127" s="2">
        <f>22/239*100</f>
        <v>9.2050209205020916</v>
      </c>
      <c r="I127" s="22"/>
      <c r="J127" s="22"/>
      <c r="K127" s="22"/>
      <c r="L127" s="14"/>
      <c r="M127" s="14"/>
    </row>
    <row r="128" spans="1:13" x14ac:dyDescent="0.2">
      <c r="A128" s="14"/>
      <c r="B128" s="19">
        <v>5</v>
      </c>
      <c r="C128" s="2">
        <v>1</v>
      </c>
      <c r="D128" s="2">
        <v>268</v>
      </c>
      <c r="E128" s="2">
        <f>1/268*100</f>
        <v>0.37313432835820892</v>
      </c>
      <c r="F128" s="21">
        <f>AVERAGE(D128:D129)</f>
        <v>273.5</v>
      </c>
      <c r="G128" s="2">
        <v>254</v>
      </c>
      <c r="H128" s="2">
        <f>22/254*100</f>
        <v>8.6614173228346463</v>
      </c>
      <c r="I128" s="21">
        <f>AVERAGE(G128:G129)</f>
        <v>263</v>
      </c>
      <c r="J128" s="21">
        <f>I128</f>
        <v>263</v>
      </c>
      <c r="K128" s="21">
        <f>J128/F128</f>
        <v>0.96160877513711152</v>
      </c>
      <c r="L128" s="14"/>
      <c r="M128" s="14"/>
    </row>
    <row r="129" spans="1:14" x14ac:dyDescent="0.2">
      <c r="A129" s="15"/>
      <c r="B129" s="20"/>
      <c r="C129" s="2">
        <v>2</v>
      </c>
      <c r="D129" s="2">
        <v>279</v>
      </c>
      <c r="E129" s="2">
        <f>1/279*100</f>
        <v>0.35842293906810035</v>
      </c>
      <c r="F129" s="22"/>
      <c r="G129" s="2">
        <v>272</v>
      </c>
      <c r="H129" s="2">
        <f>39/272*100</f>
        <v>14.338235294117647</v>
      </c>
      <c r="I129" s="22"/>
      <c r="J129" s="22"/>
      <c r="K129" s="22"/>
      <c r="L129" s="15"/>
      <c r="M129" s="15"/>
    </row>
    <row r="131" spans="1:14" x14ac:dyDescent="0.2">
      <c r="A131" s="4" t="s">
        <v>12</v>
      </c>
      <c r="B131" s="4" t="s">
        <v>11</v>
      </c>
      <c r="C131" s="4" t="s">
        <v>10</v>
      </c>
      <c r="D131" s="4" t="s">
        <v>9</v>
      </c>
      <c r="E131" s="4" t="s">
        <v>8</v>
      </c>
      <c r="F131" s="4" t="s">
        <v>7</v>
      </c>
      <c r="G131" s="4" t="s">
        <v>6</v>
      </c>
      <c r="H131" s="4" t="s">
        <v>5</v>
      </c>
      <c r="I131" s="4" t="s">
        <v>4</v>
      </c>
      <c r="J131" s="4" t="s">
        <v>3</v>
      </c>
      <c r="K131" s="4" t="s">
        <v>2</v>
      </c>
      <c r="L131" s="3" t="s">
        <v>1</v>
      </c>
      <c r="M131" s="3" t="s">
        <v>0</v>
      </c>
      <c r="N131" s="11" t="s">
        <v>21</v>
      </c>
    </row>
    <row r="132" spans="1:14" x14ac:dyDescent="0.2">
      <c r="A132" s="23" t="s">
        <v>38</v>
      </c>
      <c r="B132" s="17">
        <v>1</v>
      </c>
      <c r="C132" s="2">
        <v>1</v>
      </c>
      <c r="D132" s="2">
        <v>171</v>
      </c>
      <c r="E132" s="2">
        <v>0</v>
      </c>
      <c r="F132" s="16">
        <f>AVERAGE(D132:D133)</f>
        <v>175</v>
      </c>
      <c r="G132" s="2">
        <v>77</v>
      </c>
      <c r="H132" s="2">
        <f>4/77*100</f>
        <v>5.1948051948051948</v>
      </c>
      <c r="I132" s="16">
        <f>AVERAGE(G132:G133)</f>
        <v>78</v>
      </c>
      <c r="J132" s="16">
        <f>I132/2.5</f>
        <v>31.2</v>
      </c>
      <c r="K132" s="16">
        <f>J132/F132</f>
        <v>0.17828571428571427</v>
      </c>
      <c r="L132" s="13">
        <f>AVERAGE(K132:K145)</f>
        <v>0.28075969481709567</v>
      </c>
      <c r="M132" s="23">
        <f>STDEV(K132:K145)</f>
        <v>9.0639945472693356E-2</v>
      </c>
    </row>
    <row r="133" spans="1:14" x14ac:dyDescent="0.2">
      <c r="A133" s="24"/>
      <c r="B133" s="17"/>
      <c r="C133" s="2">
        <v>2</v>
      </c>
      <c r="D133" s="2">
        <v>179</v>
      </c>
      <c r="E133" s="2">
        <v>0</v>
      </c>
      <c r="F133" s="16"/>
      <c r="G133" s="2">
        <v>79</v>
      </c>
      <c r="H133" s="2">
        <f>3/79*100</f>
        <v>3.79746835443038</v>
      </c>
      <c r="I133" s="16"/>
      <c r="J133" s="16"/>
      <c r="K133" s="16"/>
      <c r="L133" s="14"/>
      <c r="M133" s="24"/>
    </row>
    <row r="134" spans="1:14" x14ac:dyDescent="0.2">
      <c r="A134" s="24"/>
      <c r="B134" s="17">
        <v>2</v>
      </c>
      <c r="C134" s="2">
        <v>1</v>
      </c>
      <c r="D134" s="2">
        <v>158</v>
      </c>
      <c r="E134" s="2">
        <v>0</v>
      </c>
      <c r="F134" s="16">
        <f>AVERAGE(D134:D135)</f>
        <v>174.5</v>
      </c>
      <c r="G134" s="2">
        <v>74</v>
      </c>
      <c r="H134" s="2">
        <f>5/74*100</f>
        <v>6.756756756756757</v>
      </c>
      <c r="I134" s="16">
        <f>AVERAGE(G134:G135)</f>
        <v>71</v>
      </c>
      <c r="J134" s="16">
        <f t="shared" ref="J134" si="15">I134/2.5</f>
        <v>28.4</v>
      </c>
      <c r="K134" s="16">
        <f t="shared" ref="K134" si="16">J134/F134</f>
        <v>0.16275071633237823</v>
      </c>
      <c r="L134" s="14"/>
      <c r="M134" s="24"/>
    </row>
    <row r="135" spans="1:14" x14ac:dyDescent="0.2">
      <c r="A135" s="24"/>
      <c r="B135" s="17"/>
      <c r="C135" s="2">
        <v>2</v>
      </c>
      <c r="D135" s="2">
        <v>191</v>
      </c>
      <c r="E135" s="2">
        <v>0</v>
      </c>
      <c r="F135" s="16"/>
      <c r="G135" s="2">
        <v>68</v>
      </c>
      <c r="H135" s="2">
        <f>5/68*100</f>
        <v>7.3529411764705888</v>
      </c>
      <c r="I135" s="16"/>
      <c r="J135" s="16"/>
      <c r="K135" s="16"/>
      <c r="L135" s="14"/>
      <c r="M135" s="24"/>
    </row>
    <row r="136" spans="1:14" x14ac:dyDescent="0.2">
      <c r="A136" s="24"/>
      <c r="B136" s="17">
        <v>3</v>
      </c>
      <c r="C136" s="2">
        <v>1</v>
      </c>
      <c r="D136" s="2">
        <v>116</v>
      </c>
      <c r="E136" s="2">
        <v>0</v>
      </c>
      <c r="F136" s="16">
        <f>AVERAGE(D136:D137)</f>
        <v>104.5</v>
      </c>
      <c r="G136" s="2">
        <v>94</v>
      </c>
      <c r="H136" s="2">
        <f>8/94*100</f>
        <v>8.5106382978723403</v>
      </c>
      <c r="I136" s="16">
        <f>AVERAGE(G136:G137)</f>
        <v>87.5</v>
      </c>
      <c r="J136" s="16">
        <f t="shared" ref="J136" si="17">I136/2.5</f>
        <v>35</v>
      </c>
      <c r="K136" s="16">
        <f t="shared" ref="K136" si="18">J136/F136</f>
        <v>0.3349282296650718</v>
      </c>
      <c r="L136" s="14"/>
      <c r="M136" s="24"/>
    </row>
    <row r="137" spans="1:14" x14ac:dyDescent="0.2">
      <c r="A137" s="24"/>
      <c r="B137" s="17"/>
      <c r="C137" s="2">
        <v>2</v>
      </c>
      <c r="D137" s="2">
        <v>93</v>
      </c>
      <c r="E137" s="2">
        <v>0</v>
      </c>
      <c r="F137" s="16"/>
      <c r="G137" s="2">
        <v>81</v>
      </c>
      <c r="H137" s="2">
        <f>7/81*100</f>
        <v>8.6419753086419746</v>
      </c>
      <c r="I137" s="16"/>
      <c r="J137" s="16"/>
      <c r="K137" s="16"/>
      <c r="L137" s="14"/>
      <c r="M137" s="24"/>
    </row>
    <row r="138" spans="1:14" x14ac:dyDescent="0.2">
      <c r="A138" s="24"/>
      <c r="B138" s="17">
        <v>4</v>
      </c>
      <c r="C138" s="2">
        <v>1</v>
      </c>
      <c r="D138" s="2">
        <v>98</v>
      </c>
      <c r="E138" s="2">
        <v>0</v>
      </c>
      <c r="F138" s="16">
        <f>AVERAGE(D138:D139)</f>
        <v>101.5</v>
      </c>
      <c r="G138" s="7">
        <v>68</v>
      </c>
      <c r="H138" s="2">
        <f>6/68*100</f>
        <v>8.8235294117647065</v>
      </c>
      <c r="I138" s="16">
        <f>AVERAGE(G138:G139)</f>
        <v>64.5</v>
      </c>
      <c r="J138" s="16">
        <f t="shared" ref="J138" si="19">I138/2.5</f>
        <v>25.8</v>
      </c>
      <c r="K138" s="16">
        <f t="shared" ref="K138" si="20">J138/F138</f>
        <v>0.2541871921182266</v>
      </c>
      <c r="L138" s="14"/>
      <c r="M138" s="24"/>
    </row>
    <row r="139" spans="1:14" x14ac:dyDescent="0.2">
      <c r="A139" s="24"/>
      <c r="B139" s="17"/>
      <c r="C139" s="2">
        <v>2</v>
      </c>
      <c r="D139" s="2">
        <v>105</v>
      </c>
      <c r="E139" s="2">
        <v>0</v>
      </c>
      <c r="F139" s="16"/>
      <c r="G139" s="7">
        <v>61</v>
      </c>
      <c r="H139" s="2">
        <f>6/61*100</f>
        <v>9.8360655737704921</v>
      </c>
      <c r="I139" s="16"/>
      <c r="J139" s="16"/>
      <c r="K139" s="16"/>
      <c r="L139" s="14"/>
      <c r="M139" s="24"/>
    </row>
    <row r="140" spans="1:14" x14ac:dyDescent="0.2">
      <c r="A140" s="24"/>
      <c r="B140" s="17">
        <v>5</v>
      </c>
      <c r="C140" s="2">
        <v>1</v>
      </c>
      <c r="D140" s="2">
        <v>151</v>
      </c>
      <c r="E140" s="2">
        <v>0</v>
      </c>
      <c r="F140" s="16">
        <f>AVERAGE(D140:D141)</f>
        <v>138</v>
      </c>
      <c r="G140" s="7">
        <v>225</v>
      </c>
      <c r="H140" s="2">
        <f>6/225*100</f>
        <v>2.666666666666667</v>
      </c>
      <c r="I140" s="16">
        <f>AVERAGE(G140:G141)</f>
        <v>232</v>
      </c>
      <c r="J140" s="16">
        <f>I140/5</f>
        <v>46.4</v>
      </c>
      <c r="K140" s="16">
        <f t="shared" ref="K140" si="21">J140/F140</f>
        <v>0.336231884057971</v>
      </c>
      <c r="L140" s="14"/>
      <c r="M140" s="24"/>
    </row>
    <row r="141" spans="1:14" x14ac:dyDescent="0.2">
      <c r="A141" s="24"/>
      <c r="B141" s="17"/>
      <c r="C141" s="2">
        <v>2</v>
      </c>
      <c r="D141" s="2">
        <v>125</v>
      </c>
      <c r="E141" s="2">
        <v>0</v>
      </c>
      <c r="F141" s="16"/>
      <c r="G141" s="7">
        <v>239</v>
      </c>
      <c r="H141" s="2">
        <f>7/239*100</f>
        <v>2.9288702928870292</v>
      </c>
      <c r="I141" s="16"/>
      <c r="J141" s="16"/>
      <c r="K141" s="16"/>
      <c r="L141" s="14"/>
      <c r="M141" s="24"/>
    </row>
    <row r="142" spans="1:14" x14ac:dyDescent="0.2">
      <c r="A142" s="24"/>
      <c r="B142" s="17">
        <v>6</v>
      </c>
      <c r="C142" s="2">
        <v>1</v>
      </c>
      <c r="D142" s="2">
        <v>161</v>
      </c>
      <c r="E142" s="2">
        <v>0</v>
      </c>
      <c r="F142" s="16">
        <f>AVERAGE(D142:D143)</f>
        <v>166.5</v>
      </c>
      <c r="G142" s="7">
        <v>231</v>
      </c>
      <c r="H142" s="2">
        <f>11/231*100</f>
        <v>4.7619047619047619</v>
      </c>
      <c r="I142" s="16">
        <f>AVERAGE(G142:G143)</f>
        <v>236</v>
      </c>
      <c r="J142" s="16">
        <f t="shared" ref="J142" si="22">I142/5</f>
        <v>47.2</v>
      </c>
      <c r="K142" s="16">
        <f t="shared" ref="K142" si="23">J142/F142</f>
        <v>0.28348348348348351</v>
      </c>
      <c r="L142" s="14"/>
      <c r="M142" s="24"/>
    </row>
    <row r="143" spans="1:14" x14ac:dyDescent="0.2">
      <c r="A143" s="24"/>
      <c r="B143" s="17"/>
      <c r="C143" s="2">
        <v>2</v>
      </c>
      <c r="D143" s="2">
        <v>172</v>
      </c>
      <c r="E143" s="2">
        <v>0</v>
      </c>
      <c r="F143" s="16"/>
      <c r="G143" s="7">
        <v>241</v>
      </c>
      <c r="H143" s="2">
        <f>12/241*100</f>
        <v>4.9792531120331951</v>
      </c>
      <c r="I143" s="16"/>
      <c r="J143" s="16"/>
      <c r="K143" s="16"/>
      <c r="L143" s="14"/>
      <c r="M143" s="24"/>
    </row>
    <row r="144" spans="1:14" x14ac:dyDescent="0.2">
      <c r="A144" s="24"/>
      <c r="B144" s="17">
        <v>7</v>
      </c>
      <c r="C144" s="2">
        <v>1</v>
      </c>
      <c r="D144" s="2">
        <v>234</v>
      </c>
      <c r="E144" s="2">
        <v>0</v>
      </c>
      <c r="F144" s="16">
        <f>AVERAGE(D144:D145)</f>
        <v>233</v>
      </c>
      <c r="G144" s="7">
        <v>469</v>
      </c>
      <c r="H144" s="2">
        <f>15/469*100</f>
        <v>3.1982942430703627</v>
      </c>
      <c r="I144" s="16">
        <f>AVERAGE(G144:G145)</f>
        <v>484</v>
      </c>
      <c r="J144" s="16">
        <f t="shared" ref="J144" si="24">I144/5</f>
        <v>96.8</v>
      </c>
      <c r="K144" s="16">
        <f t="shared" ref="K144" si="25">J144/F144</f>
        <v>0.415450643776824</v>
      </c>
      <c r="L144" s="14"/>
      <c r="M144" s="24"/>
    </row>
    <row r="145" spans="1:14" x14ac:dyDescent="0.2">
      <c r="A145" s="25"/>
      <c r="B145" s="17"/>
      <c r="C145" s="2">
        <v>2</v>
      </c>
      <c r="D145" s="2">
        <v>232</v>
      </c>
      <c r="E145" s="2">
        <v>0</v>
      </c>
      <c r="F145" s="16"/>
      <c r="G145" s="7">
        <v>499</v>
      </c>
      <c r="H145" s="2">
        <f>21/499*100</f>
        <v>4.2084168336673349</v>
      </c>
      <c r="I145" s="16"/>
      <c r="J145" s="16"/>
      <c r="K145" s="16"/>
      <c r="L145" s="15"/>
      <c r="M145" s="25"/>
    </row>
    <row r="147" spans="1:14" x14ac:dyDescent="0.2">
      <c r="A147" s="4" t="s">
        <v>12</v>
      </c>
      <c r="B147" s="4" t="s">
        <v>11</v>
      </c>
      <c r="C147" s="4" t="s">
        <v>10</v>
      </c>
      <c r="D147" s="4" t="s">
        <v>9</v>
      </c>
      <c r="E147" s="4" t="s">
        <v>8</v>
      </c>
      <c r="F147" s="4" t="s">
        <v>7</v>
      </c>
      <c r="G147" s="4" t="s">
        <v>6</v>
      </c>
      <c r="H147" s="4" t="s">
        <v>5</v>
      </c>
      <c r="I147" s="4" t="s">
        <v>4</v>
      </c>
      <c r="J147" s="4" t="s">
        <v>3</v>
      </c>
      <c r="K147" s="4" t="s">
        <v>2</v>
      </c>
      <c r="L147" s="3" t="s">
        <v>1</v>
      </c>
      <c r="M147" s="3" t="s">
        <v>0</v>
      </c>
    </row>
    <row r="148" spans="1:14" x14ac:dyDescent="0.2">
      <c r="A148" s="13" t="s">
        <v>22</v>
      </c>
      <c r="B148" s="19">
        <v>1</v>
      </c>
      <c r="C148" s="2">
        <v>1</v>
      </c>
      <c r="D148" s="2">
        <v>217</v>
      </c>
      <c r="E148" s="2">
        <f>1/217*100</f>
        <v>0.46082949308755761</v>
      </c>
      <c r="F148" s="21">
        <f>AVERAGE(D148:D149)</f>
        <v>226</v>
      </c>
      <c r="G148" s="2">
        <v>213</v>
      </c>
      <c r="H148" s="2">
        <f>20/213*100</f>
        <v>9.3896713615023462</v>
      </c>
      <c r="I148" s="21">
        <f>AVERAGE(G148:G149)</f>
        <v>214</v>
      </c>
      <c r="J148" s="21">
        <f>I148</f>
        <v>214</v>
      </c>
      <c r="K148" s="21">
        <f>J148/F148</f>
        <v>0.94690265486725667</v>
      </c>
      <c r="L148" s="13">
        <f>AVERAGE(K148:K156)</f>
        <v>1.0110279366101693</v>
      </c>
      <c r="M148" s="13">
        <f>STDEV(K148:K157)</f>
        <v>9.890140094495832E-2</v>
      </c>
    </row>
    <row r="149" spans="1:14" x14ac:dyDescent="0.2">
      <c r="A149" s="14"/>
      <c r="B149" s="20"/>
      <c r="C149" s="2">
        <v>2</v>
      </c>
      <c r="D149" s="2">
        <v>235</v>
      </c>
      <c r="E149" s="2">
        <f>2/235*100</f>
        <v>0.85106382978723405</v>
      </c>
      <c r="F149" s="22"/>
      <c r="G149" s="2">
        <v>215</v>
      </c>
      <c r="H149" s="2">
        <f>13/215*100</f>
        <v>6.0465116279069768</v>
      </c>
      <c r="I149" s="22"/>
      <c r="J149" s="22"/>
      <c r="K149" s="22"/>
      <c r="L149" s="14"/>
      <c r="M149" s="14"/>
    </row>
    <row r="150" spans="1:14" x14ac:dyDescent="0.2">
      <c r="A150" s="14"/>
      <c r="B150" s="19">
        <v>2</v>
      </c>
      <c r="C150" s="2">
        <v>1</v>
      </c>
      <c r="D150" s="2">
        <v>340</v>
      </c>
      <c r="E150" s="2">
        <f>3/340*100</f>
        <v>0.88235294117647056</v>
      </c>
      <c r="F150" s="21">
        <f>AVERAGE(D150:D151)</f>
        <v>326.5</v>
      </c>
      <c r="G150" s="2">
        <v>346</v>
      </c>
      <c r="H150" s="2">
        <f>19/346*100</f>
        <v>5.4913294797687859</v>
      </c>
      <c r="I150" s="21">
        <f>AVERAGE(G150:G151)</f>
        <v>351.5</v>
      </c>
      <c r="J150" s="21">
        <f>I150</f>
        <v>351.5</v>
      </c>
      <c r="K150" s="21">
        <f>J150/F150</f>
        <v>1.0765696784073506</v>
      </c>
      <c r="L150" s="14"/>
      <c r="M150" s="14"/>
    </row>
    <row r="151" spans="1:14" x14ac:dyDescent="0.2">
      <c r="A151" s="14"/>
      <c r="B151" s="20"/>
      <c r="C151" s="2">
        <v>2</v>
      </c>
      <c r="D151" s="2">
        <v>313</v>
      </c>
      <c r="E151" s="2">
        <f>2/313*100</f>
        <v>0.63897763578274758</v>
      </c>
      <c r="F151" s="22"/>
      <c r="G151" s="2">
        <v>357</v>
      </c>
      <c r="H151" s="2">
        <f>22/357*100</f>
        <v>6.1624649859943981</v>
      </c>
      <c r="I151" s="22"/>
      <c r="J151" s="22"/>
      <c r="K151" s="22"/>
      <c r="L151" s="14"/>
      <c r="M151" s="14"/>
    </row>
    <row r="152" spans="1:14" x14ac:dyDescent="0.2">
      <c r="A152" s="14"/>
      <c r="B152" s="19">
        <v>3</v>
      </c>
      <c r="C152" s="2">
        <v>1</v>
      </c>
      <c r="D152" s="2">
        <v>270</v>
      </c>
      <c r="E152" s="2">
        <v>0</v>
      </c>
      <c r="F152" s="21">
        <f>AVERAGE(D152:D153)</f>
        <v>293.5</v>
      </c>
      <c r="G152" s="2">
        <v>252</v>
      </c>
      <c r="H152" s="2">
        <f>19/252*100</f>
        <v>7.5396825396825395</v>
      </c>
      <c r="I152" s="21">
        <f>AVERAGE(G152:G153)</f>
        <v>275</v>
      </c>
      <c r="J152" s="21">
        <f>I152</f>
        <v>275</v>
      </c>
      <c r="K152" s="21">
        <f>J152/F152</f>
        <v>0.93696763202725719</v>
      </c>
      <c r="L152" s="14"/>
      <c r="M152" s="14"/>
    </row>
    <row r="153" spans="1:14" x14ac:dyDescent="0.2">
      <c r="A153" s="14"/>
      <c r="B153" s="20"/>
      <c r="C153" s="2">
        <v>2</v>
      </c>
      <c r="D153" s="2">
        <v>317</v>
      </c>
      <c r="E153" s="2">
        <v>0</v>
      </c>
      <c r="F153" s="22"/>
      <c r="G153" s="2">
        <v>298</v>
      </c>
      <c r="H153" s="2">
        <f>21/298*100</f>
        <v>7.0469798657718119</v>
      </c>
      <c r="I153" s="22"/>
      <c r="J153" s="22"/>
      <c r="K153" s="22"/>
      <c r="L153" s="14"/>
      <c r="M153" s="14"/>
    </row>
    <row r="154" spans="1:14" x14ac:dyDescent="0.2">
      <c r="A154" s="14"/>
      <c r="B154" s="19">
        <v>4</v>
      </c>
      <c r="C154" s="2">
        <v>1</v>
      </c>
      <c r="D154" s="2">
        <v>184</v>
      </c>
      <c r="E154" s="2">
        <f>1/184*100</f>
        <v>0.54347826086956519</v>
      </c>
      <c r="F154" s="21">
        <f>AVERAGE(D154:D155)</f>
        <v>185.5</v>
      </c>
      <c r="G154" s="2">
        <v>214</v>
      </c>
      <c r="H154" s="2">
        <f>13/214*100</f>
        <v>6.0747663551401869</v>
      </c>
      <c r="I154" s="21">
        <f>AVERAGE(G154:G155)</f>
        <v>214</v>
      </c>
      <c r="J154" s="21">
        <f>I154</f>
        <v>214</v>
      </c>
      <c r="K154" s="21">
        <f>J154/F154</f>
        <v>1.1536388140161724</v>
      </c>
      <c r="L154" s="14"/>
      <c r="M154" s="14"/>
    </row>
    <row r="155" spans="1:14" x14ac:dyDescent="0.2">
      <c r="A155" s="14"/>
      <c r="B155" s="20"/>
      <c r="C155" s="2">
        <v>2</v>
      </c>
      <c r="D155" s="2">
        <v>187</v>
      </c>
      <c r="E155" s="2">
        <f>1/187*100</f>
        <v>0.53475935828876997</v>
      </c>
      <c r="F155" s="22"/>
      <c r="G155" s="2">
        <v>214</v>
      </c>
      <c r="H155" s="2">
        <f>15/214*100</f>
        <v>7.009345794392523</v>
      </c>
      <c r="I155" s="22"/>
      <c r="J155" s="22"/>
      <c r="K155" s="22"/>
      <c r="L155" s="14"/>
      <c r="M155" s="14"/>
    </row>
    <row r="156" spans="1:14" x14ac:dyDescent="0.2">
      <c r="A156" s="14"/>
      <c r="B156" s="19">
        <v>5</v>
      </c>
      <c r="C156" s="2">
        <v>1</v>
      </c>
      <c r="D156" s="2">
        <v>230</v>
      </c>
      <c r="E156" s="2">
        <v>0</v>
      </c>
      <c r="F156" s="21">
        <f>AVERAGE(D156:D157)</f>
        <v>254.5</v>
      </c>
      <c r="G156" s="2">
        <v>258</v>
      </c>
      <c r="H156" s="2">
        <f>9/258*100</f>
        <v>3.4883720930232558</v>
      </c>
      <c r="I156" s="21">
        <f>AVERAGE(G156:G157)</f>
        <v>239.5</v>
      </c>
      <c r="J156" s="21">
        <f>I156</f>
        <v>239.5</v>
      </c>
      <c r="K156" s="21">
        <f>J156/F156</f>
        <v>0.94106090373280948</v>
      </c>
      <c r="L156" s="14"/>
      <c r="M156" s="14"/>
    </row>
    <row r="157" spans="1:14" x14ac:dyDescent="0.2">
      <c r="A157" s="15"/>
      <c r="B157" s="20"/>
      <c r="C157" s="2">
        <v>2</v>
      </c>
      <c r="D157" s="2">
        <v>279</v>
      </c>
      <c r="E157" s="2">
        <v>0</v>
      </c>
      <c r="F157" s="22"/>
      <c r="G157" s="2">
        <v>221</v>
      </c>
      <c r="H157" s="2">
        <f>13/221*100</f>
        <v>5.8823529411764701</v>
      </c>
      <c r="I157" s="22"/>
      <c r="J157" s="22"/>
      <c r="K157" s="22"/>
      <c r="L157" s="15"/>
      <c r="M157" s="15"/>
    </row>
    <row r="159" spans="1:14" x14ac:dyDescent="0.2">
      <c r="A159" s="4" t="s">
        <v>12</v>
      </c>
      <c r="B159" s="4" t="s">
        <v>11</v>
      </c>
      <c r="C159" s="4" t="s">
        <v>10</v>
      </c>
      <c r="D159" s="4" t="s">
        <v>9</v>
      </c>
      <c r="E159" s="4" t="s">
        <v>8</v>
      </c>
      <c r="F159" s="4" t="s">
        <v>7</v>
      </c>
      <c r="G159" s="4" t="s">
        <v>6</v>
      </c>
      <c r="H159" s="4" t="s">
        <v>5</v>
      </c>
      <c r="I159" s="4" t="s">
        <v>4</v>
      </c>
      <c r="J159" s="4" t="s">
        <v>3</v>
      </c>
      <c r="K159" s="4" t="s">
        <v>2</v>
      </c>
      <c r="L159" s="3" t="s">
        <v>1</v>
      </c>
      <c r="M159" s="3" t="s">
        <v>0</v>
      </c>
      <c r="N159" s="11" t="s">
        <v>18</v>
      </c>
    </row>
    <row r="160" spans="1:14" x14ac:dyDescent="0.2">
      <c r="A160" s="18" t="s">
        <v>39</v>
      </c>
      <c r="B160" s="17">
        <v>1</v>
      </c>
      <c r="C160" s="2">
        <v>1</v>
      </c>
      <c r="D160" s="2">
        <v>191</v>
      </c>
      <c r="E160" s="2">
        <v>0</v>
      </c>
      <c r="F160" s="16">
        <f>AVERAGE(D160:D161)</f>
        <v>192</v>
      </c>
      <c r="G160" s="2">
        <v>110</v>
      </c>
      <c r="H160" s="2">
        <f>2/110*100</f>
        <v>1.8181818181818181</v>
      </c>
      <c r="I160" s="16">
        <f>AVERAGE(G160:G161)</f>
        <v>114.5</v>
      </c>
      <c r="J160" s="16">
        <f>I160/2.5</f>
        <v>45.8</v>
      </c>
      <c r="K160" s="16">
        <f>J160/F160</f>
        <v>0.23854166666666665</v>
      </c>
      <c r="L160" s="13">
        <f>AVERAGE(K160:K167)</f>
        <v>0.27461043894131226</v>
      </c>
      <c r="M160" s="13">
        <f>STDEV(K160:K167)</f>
        <v>2.667753974789806E-2</v>
      </c>
    </row>
    <row r="161" spans="1:13" x14ac:dyDescent="0.2">
      <c r="A161" s="18"/>
      <c r="B161" s="17"/>
      <c r="C161" s="2">
        <v>2</v>
      </c>
      <c r="D161" s="2">
        <v>193</v>
      </c>
      <c r="E161" s="2">
        <v>0</v>
      </c>
      <c r="F161" s="16"/>
      <c r="G161" s="2">
        <v>119</v>
      </c>
      <c r="H161" s="2">
        <v>0</v>
      </c>
      <c r="I161" s="16"/>
      <c r="J161" s="16"/>
      <c r="K161" s="16"/>
      <c r="L161" s="14"/>
      <c r="M161" s="14"/>
    </row>
    <row r="162" spans="1:13" x14ac:dyDescent="0.2">
      <c r="A162" s="18"/>
      <c r="B162" s="17">
        <v>2</v>
      </c>
      <c r="C162" s="2">
        <v>1</v>
      </c>
      <c r="D162" s="2">
        <v>129</v>
      </c>
      <c r="E162" s="2">
        <v>0</v>
      </c>
      <c r="F162" s="16">
        <f>AVERAGE(D162:D163)</f>
        <v>132</v>
      </c>
      <c r="G162" s="2">
        <v>78</v>
      </c>
      <c r="H162" s="2">
        <v>0</v>
      </c>
      <c r="I162" s="16">
        <f>AVERAGE(G162:G163)</f>
        <v>91</v>
      </c>
      <c r="J162" s="16">
        <f t="shared" ref="J162" si="26">I162/2.5</f>
        <v>36.4</v>
      </c>
      <c r="K162" s="16">
        <f t="shared" ref="K162" si="27">J162/F162</f>
        <v>0.27575757575757576</v>
      </c>
      <c r="L162" s="14"/>
      <c r="M162" s="14"/>
    </row>
    <row r="163" spans="1:13" x14ac:dyDescent="0.2">
      <c r="A163" s="18"/>
      <c r="B163" s="17"/>
      <c r="C163" s="2">
        <v>2</v>
      </c>
      <c r="D163" s="2">
        <v>135</v>
      </c>
      <c r="E163" s="2">
        <v>0</v>
      </c>
      <c r="F163" s="16"/>
      <c r="G163" s="2">
        <v>104</v>
      </c>
      <c r="H163" s="2">
        <f>1/104*100</f>
        <v>0.96153846153846156</v>
      </c>
      <c r="I163" s="16"/>
      <c r="J163" s="16"/>
      <c r="K163" s="16"/>
      <c r="L163" s="14"/>
      <c r="M163" s="14"/>
    </row>
    <row r="164" spans="1:13" x14ac:dyDescent="0.2">
      <c r="A164" s="18"/>
      <c r="B164" s="17">
        <v>3</v>
      </c>
      <c r="C164" s="2">
        <v>1</v>
      </c>
      <c r="D164" s="2">
        <v>150</v>
      </c>
      <c r="E164" s="2">
        <f>1/150*100</f>
        <v>0.66666666666666674</v>
      </c>
      <c r="F164" s="16">
        <f>AVERAGE(D164:D165)</f>
        <v>152</v>
      </c>
      <c r="G164" s="2">
        <v>115</v>
      </c>
      <c r="H164" s="2">
        <v>0</v>
      </c>
      <c r="I164" s="16">
        <f>AVERAGE(G164:G165)</f>
        <v>115</v>
      </c>
      <c r="J164" s="16">
        <f t="shared" ref="J164" si="28">I164/2.5</f>
        <v>46</v>
      </c>
      <c r="K164" s="16">
        <f t="shared" ref="K164" si="29">J164/F164</f>
        <v>0.30263157894736842</v>
      </c>
      <c r="L164" s="14"/>
      <c r="M164" s="14"/>
    </row>
    <row r="165" spans="1:13" x14ac:dyDescent="0.2">
      <c r="A165" s="18"/>
      <c r="B165" s="17"/>
      <c r="C165" s="2">
        <v>2</v>
      </c>
      <c r="D165" s="2">
        <v>154</v>
      </c>
      <c r="E165" s="2">
        <v>0</v>
      </c>
      <c r="F165" s="16"/>
      <c r="G165" s="2">
        <v>115</v>
      </c>
      <c r="H165" s="2">
        <v>0</v>
      </c>
      <c r="I165" s="16"/>
      <c r="J165" s="16"/>
      <c r="K165" s="16"/>
      <c r="L165" s="14"/>
      <c r="M165" s="14"/>
    </row>
    <row r="166" spans="1:13" x14ac:dyDescent="0.2">
      <c r="A166" s="18"/>
      <c r="B166" s="17">
        <v>4</v>
      </c>
      <c r="C166" s="2">
        <v>1</v>
      </c>
      <c r="D166" s="2">
        <v>267</v>
      </c>
      <c r="E166" s="2">
        <v>0</v>
      </c>
      <c r="F166" s="16">
        <f>AVERAGE(D166:D167)</f>
        <v>251.5</v>
      </c>
      <c r="G166" s="7">
        <v>171</v>
      </c>
      <c r="H166" s="2">
        <f>3/171*100</f>
        <v>1.7543859649122806</v>
      </c>
      <c r="I166" s="16">
        <f>AVERAGE(G166:G167)</f>
        <v>177</v>
      </c>
      <c r="J166" s="16">
        <f t="shared" ref="J166" si="30">I166/2.5</f>
        <v>70.8</v>
      </c>
      <c r="K166" s="16">
        <f t="shared" ref="K166" si="31">J166/F166</f>
        <v>0.28151093439363817</v>
      </c>
      <c r="L166" s="14"/>
      <c r="M166" s="14"/>
    </row>
    <row r="167" spans="1:13" x14ac:dyDescent="0.2">
      <c r="A167" s="18"/>
      <c r="B167" s="17"/>
      <c r="C167" s="2">
        <v>2</v>
      </c>
      <c r="D167" s="2">
        <v>236</v>
      </c>
      <c r="E167" s="2">
        <v>0</v>
      </c>
      <c r="F167" s="16"/>
      <c r="G167" s="7">
        <v>183</v>
      </c>
      <c r="H167" s="2">
        <f>6/183*100</f>
        <v>3.278688524590164</v>
      </c>
      <c r="I167" s="16"/>
      <c r="J167" s="16"/>
      <c r="K167" s="16"/>
      <c r="L167" s="15"/>
      <c r="M167" s="15"/>
    </row>
    <row r="174" spans="1:13" x14ac:dyDescent="0.2">
      <c r="D174" s="4" t="s">
        <v>23</v>
      </c>
      <c r="E174" s="2"/>
      <c r="F174" s="2" t="s">
        <v>24</v>
      </c>
      <c r="G174" s="2" t="s">
        <v>25</v>
      </c>
      <c r="H174" s="2" t="s">
        <v>26</v>
      </c>
      <c r="I174" s="2" t="s">
        <v>27</v>
      </c>
      <c r="J174" s="2" t="s">
        <v>28</v>
      </c>
      <c r="K174" s="2" t="s">
        <v>29</v>
      </c>
      <c r="L174" s="2" t="s">
        <v>30</v>
      </c>
    </row>
    <row r="175" spans="1:13" x14ac:dyDescent="0.2">
      <c r="D175" s="2"/>
      <c r="E175" s="2" t="s">
        <v>31</v>
      </c>
      <c r="F175" s="2">
        <f>TTEST(K148:K157,K160:K167,2,3)</f>
        <v>2.809290857339758E-5</v>
      </c>
      <c r="G175" s="2">
        <f>TTEST(K2:K9,K12:K33,2,3)</f>
        <v>8.7181706863944511E-2</v>
      </c>
      <c r="H175" s="2">
        <f>TTEST(K36:K43,K46:K53,2,3)</f>
        <v>0.90301936207851119</v>
      </c>
      <c r="I175" s="2">
        <f>TTEST(K56:K63,K66:K73,2,3)</f>
        <v>3.8611415261943756E-3</v>
      </c>
      <c r="J175" s="2">
        <f>TTEST(K76:K85,K88:K95,2,3)</f>
        <v>6.0129572785247197E-5</v>
      </c>
      <c r="K175" s="2">
        <f>TTEST(K98:K107,K110:K117,2,3)</f>
        <v>2.2202344410849214E-5</v>
      </c>
      <c r="L175" s="2">
        <f>TTEST(K120:K129,K132:K145,2,3)</f>
        <v>9.6151555085791553E-9</v>
      </c>
    </row>
    <row r="176" spans="1:13" x14ac:dyDescent="0.2">
      <c r="D176" s="12" t="s">
        <v>32</v>
      </c>
      <c r="E176" s="2" t="s">
        <v>24</v>
      </c>
      <c r="F176" s="2"/>
      <c r="G176" s="2">
        <f>TTEST(K12:K33,K160:K167,2,3)</f>
        <v>3.1432051681906949E-11</v>
      </c>
      <c r="H176" s="2">
        <f>TTEST(K46:K53,K160:K167,2,3)</f>
        <v>4.8221750053770875E-8</v>
      </c>
      <c r="I176" s="2">
        <f>TTEST(K66:K73,K160:K167,2,3)</f>
        <v>2.0075198414330206E-3</v>
      </c>
      <c r="J176" s="2">
        <f>TTEST(K88:K95,K160:K167,2,3)</f>
        <v>3.4550043700480808E-2</v>
      </c>
      <c r="K176" s="2">
        <f>TTEST(K110:K117,K160:K167,2,3)</f>
        <v>0.3621658291799183</v>
      </c>
      <c r="L176" s="2">
        <f>TTEST(K132:K145,K160:K167,2,3)</f>
        <v>0.87152281084962635</v>
      </c>
    </row>
    <row r="177" spans="4:12" x14ac:dyDescent="0.2">
      <c r="D177" s="12"/>
      <c r="E177" s="2" t="s">
        <v>25</v>
      </c>
      <c r="F177" s="2"/>
      <c r="G177" s="2"/>
      <c r="H177" s="2">
        <f>TTEST(K12:K33,K46:K53,2,3)</f>
        <v>7.7939156901183227E-4</v>
      </c>
      <c r="I177" s="2">
        <f>TTEST(K12:K33,K66:K73,2,3)</f>
        <v>6.3763631316311221E-3</v>
      </c>
      <c r="J177" s="2">
        <f>TTEST(K12:K33,K88:K95,2,3)</f>
        <v>6.7779404609891817E-9</v>
      </c>
      <c r="K177" s="2">
        <f>TTEST(K12:K33,K110:K117,2,3)</f>
        <v>3.3846826490692034E-7</v>
      </c>
      <c r="L177" s="2">
        <f>TTEST(K12:K33,K132:K145,2,3)</f>
        <v>1.9496588057724668E-9</v>
      </c>
    </row>
    <row r="178" spans="4:12" x14ac:dyDescent="0.2">
      <c r="D178" s="12"/>
      <c r="E178" s="2" t="s">
        <v>26</v>
      </c>
      <c r="F178" s="2"/>
      <c r="G178" s="2"/>
      <c r="H178" s="2"/>
      <c r="I178" s="2">
        <f>TTEST(K46:K53, K66:K73, 2, 3)</f>
        <v>2.0565932493850645E-3</v>
      </c>
      <c r="J178" s="2">
        <f>TTEST(K46:K53, K88:K95, 2, 3)</f>
        <v>8.1578796211677921E-7</v>
      </c>
      <c r="K178" s="2">
        <f>TTEST(K46:K53, K110:K117, 2, 3)</f>
        <v>9.5475687383515294E-6</v>
      </c>
      <c r="L178" s="2">
        <f>TTEST(K46:K53, K132:K145, 2, 3)</f>
        <v>2.3881300669517811E-8</v>
      </c>
    </row>
    <row r="179" spans="4:12" x14ac:dyDescent="0.2">
      <c r="D179" s="12"/>
      <c r="E179" s="2" t="s">
        <v>27</v>
      </c>
      <c r="F179" s="2"/>
      <c r="G179" s="2"/>
      <c r="H179" s="2"/>
      <c r="I179" s="2"/>
      <c r="J179" s="2">
        <f>TTEST($K$66:$K$73,K88:K95, 2, 3)</f>
        <v>2.3927607714815378E-3</v>
      </c>
      <c r="K179" s="2">
        <f>TTEST($K$66:$K$73,K110:K117, 2, 3)</f>
        <v>4.131892865787359E-4</v>
      </c>
      <c r="L179" s="2">
        <f>TTEST($K$66:$K$73,K132:K145, 2, 3)</f>
        <v>3.9972324992428845E-4</v>
      </c>
    </row>
    <row r="180" spans="4:12" x14ac:dyDescent="0.2">
      <c r="D180" s="12"/>
      <c r="E180" s="2" t="s">
        <v>28</v>
      </c>
      <c r="F180" s="2"/>
      <c r="G180" s="2"/>
      <c r="H180" s="2"/>
      <c r="I180" s="2"/>
      <c r="J180" s="2"/>
      <c r="K180" s="2">
        <f>TTEST($K$88:$K$95, K110:K117, 2, 3)</f>
        <v>3.2593770800766433E-2</v>
      </c>
      <c r="L180" s="2">
        <f>TTEST($K$88:$K$95, K132:K145, 2, 3)</f>
        <v>0.11652427930608333</v>
      </c>
    </row>
    <row r="181" spans="4:12" x14ac:dyDescent="0.2">
      <c r="D181" s="12"/>
      <c r="E181" s="2" t="s">
        <v>29</v>
      </c>
      <c r="F181" s="2"/>
      <c r="G181" s="2"/>
      <c r="H181" s="2"/>
      <c r="I181" s="2"/>
      <c r="J181" s="2"/>
      <c r="K181" s="2"/>
      <c r="L181" s="2">
        <f>TTEST($K$110:$K$117, K132:K145, 2, 3)</f>
        <v>0.3954713856873856</v>
      </c>
    </row>
  </sheetData>
  <mergeCells count="393">
    <mergeCell ref="I2:I3"/>
    <mergeCell ref="I4:I5"/>
    <mergeCell ref="I6:I7"/>
    <mergeCell ref="I36:I37"/>
    <mergeCell ref="F42:F43"/>
    <mergeCell ref="F22:F23"/>
    <mergeCell ref="I22:I23"/>
    <mergeCell ref="I42:I43"/>
    <mergeCell ref="F38:F39"/>
    <mergeCell ref="I38:I39"/>
    <mergeCell ref="B84:B85"/>
    <mergeCell ref="B22:B23"/>
    <mergeCell ref="A46:A53"/>
    <mergeCell ref="B46:B47"/>
    <mergeCell ref="A66:A73"/>
    <mergeCell ref="B66:B67"/>
    <mergeCell ref="F4:F5"/>
    <mergeCell ref="I8:I9"/>
    <mergeCell ref="F6:F7"/>
    <mergeCell ref="F8:F9"/>
    <mergeCell ref="B6:B7"/>
    <mergeCell ref="B8:B9"/>
    <mergeCell ref="A2:A9"/>
    <mergeCell ref="B80:B81"/>
    <mergeCell ref="A56:A63"/>
    <mergeCell ref="B56:B57"/>
    <mergeCell ref="B76:B77"/>
    <mergeCell ref="B78:B79"/>
    <mergeCell ref="B82:B83"/>
    <mergeCell ref="L2:L9"/>
    <mergeCell ref="M2:M9"/>
    <mergeCell ref="B20:B21"/>
    <mergeCell ref="F20:F21"/>
    <mergeCell ref="I20:I21"/>
    <mergeCell ref="J20:J21"/>
    <mergeCell ref="K20:K21"/>
    <mergeCell ref="J2:J3"/>
    <mergeCell ref="J4:J5"/>
    <mergeCell ref="J6:J7"/>
    <mergeCell ref="B12:B13"/>
    <mergeCell ref="F12:F13"/>
    <mergeCell ref="I12:I13"/>
    <mergeCell ref="J12:J13"/>
    <mergeCell ref="J8:J9"/>
    <mergeCell ref="K2:K3"/>
    <mergeCell ref="K4:K5"/>
    <mergeCell ref="J18:J19"/>
    <mergeCell ref="K18:K19"/>
    <mergeCell ref="K6:K7"/>
    <mergeCell ref="K8:K9"/>
    <mergeCell ref="F2:F3"/>
    <mergeCell ref="B2:B3"/>
    <mergeCell ref="B4:B5"/>
    <mergeCell ref="M36:M43"/>
    <mergeCell ref="B38:B39"/>
    <mergeCell ref="J22:J23"/>
    <mergeCell ref="K22:K23"/>
    <mergeCell ref="B24:B25"/>
    <mergeCell ref="F24:F25"/>
    <mergeCell ref="I24:I25"/>
    <mergeCell ref="J28:J29"/>
    <mergeCell ref="J30:J31"/>
    <mergeCell ref="J32:J33"/>
    <mergeCell ref="I28:I29"/>
    <mergeCell ref="I30:I31"/>
    <mergeCell ref="K30:K31"/>
    <mergeCell ref="K32:K33"/>
    <mergeCell ref="K26:K27"/>
    <mergeCell ref="B28:B29"/>
    <mergeCell ref="K28:K29"/>
    <mergeCell ref="F28:F29"/>
    <mergeCell ref="F30:F31"/>
    <mergeCell ref="B30:B31"/>
    <mergeCell ref="I32:I33"/>
    <mergeCell ref="B26:B27"/>
    <mergeCell ref="F26:F27"/>
    <mergeCell ref="I26:I27"/>
    <mergeCell ref="M12:M33"/>
    <mergeCell ref="J36:J37"/>
    <mergeCell ref="K36:K37"/>
    <mergeCell ref="A36:A43"/>
    <mergeCell ref="L46:L53"/>
    <mergeCell ref="J38:J39"/>
    <mergeCell ref="K38:K39"/>
    <mergeCell ref="B40:B41"/>
    <mergeCell ref="F40:F41"/>
    <mergeCell ref="I40:I41"/>
    <mergeCell ref="J40:J41"/>
    <mergeCell ref="K40:K41"/>
    <mergeCell ref="B42:B43"/>
    <mergeCell ref="B36:B37"/>
    <mergeCell ref="F36:F37"/>
    <mergeCell ref="K42:K43"/>
    <mergeCell ref="J42:J43"/>
    <mergeCell ref="L36:L43"/>
    <mergeCell ref="M46:M53"/>
    <mergeCell ref="B48:B49"/>
    <mergeCell ref="K12:K13"/>
    <mergeCell ref="B14:B15"/>
    <mergeCell ref="F14:F15"/>
    <mergeCell ref="I14:I15"/>
    <mergeCell ref="B50:B51"/>
    <mergeCell ref="F50:F51"/>
    <mergeCell ref="I50:I51"/>
    <mergeCell ref="J50:J51"/>
    <mergeCell ref="K50:K51"/>
    <mergeCell ref="B18:B19"/>
    <mergeCell ref="F18:F19"/>
    <mergeCell ref="I18:I19"/>
    <mergeCell ref="L12:L33"/>
    <mergeCell ref="J14:J15"/>
    <mergeCell ref="K14:K15"/>
    <mergeCell ref="B16:B17"/>
    <mergeCell ref="F16:F17"/>
    <mergeCell ref="I16:I17"/>
    <mergeCell ref="J16:J17"/>
    <mergeCell ref="K16:K17"/>
    <mergeCell ref="J26:J27"/>
    <mergeCell ref="F32:F33"/>
    <mergeCell ref="B32:B33"/>
    <mergeCell ref="J24:J25"/>
    <mergeCell ref="K24:K25"/>
    <mergeCell ref="F46:F47"/>
    <mergeCell ref="I46:I47"/>
    <mergeCell ref="J46:J47"/>
    <mergeCell ref="K46:K47"/>
    <mergeCell ref="K52:K53"/>
    <mergeCell ref="F48:F49"/>
    <mergeCell ref="I48:I49"/>
    <mergeCell ref="J48:J49"/>
    <mergeCell ref="K48:K49"/>
    <mergeCell ref="F56:F57"/>
    <mergeCell ref="K62:K63"/>
    <mergeCell ref="I56:I57"/>
    <mergeCell ref="J56:J57"/>
    <mergeCell ref="K56:K57"/>
    <mergeCell ref="B52:B53"/>
    <mergeCell ref="F52:F53"/>
    <mergeCell ref="I52:I53"/>
    <mergeCell ref="J52:J53"/>
    <mergeCell ref="B72:B73"/>
    <mergeCell ref="F72:F73"/>
    <mergeCell ref="I72:I73"/>
    <mergeCell ref="J72:J73"/>
    <mergeCell ref="F60:F61"/>
    <mergeCell ref="I60:I61"/>
    <mergeCell ref="J60:J61"/>
    <mergeCell ref="K60:K61"/>
    <mergeCell ref="B62:B63"/>
    <mergeCell ref="F62:F63"/>
    <mergeCell ref="I62:I63"/>
    <mergeCell ref="J62:J63"/>
    <mergeCell ref="L56:L63"/>
    <mergeCell ref="M56:M63"/>
    <mergeCell ref="B58:B59"/>
    <mergeCell ref="F58:F59"/>
    <mergeCell ref="I58:I59"/>
    <mergeCell ref="J58:J59"/>
    <mergeCell ref="K58:K59"/>
    <mergeCell ref="B60:B61"/>
    <mergeCell ref="J84:J85"/>
    <mergeCell ref="M76:M85"/>
    <mergeCell ref="J78:J79"/>
    <mergeCell ref="J80:J81"/>
    <mergeCell ref="J82:J83"/>
    <mergeCell ref="M66:M73"/>
    <mergeCell ref="B68:B69"/>
    <mergeCell ref="F68:F69"/>
    <mergeCell ref="I68:I69"/>
    <mergeCell ref="J68:J69"/>
    <mergeCell ref="K68:K69"/>
    <mergeCell ref="B70:B71"/>
    <mergeCell ref="F70:F71"/>
    <mergeCell ref="I70:I71"/>
    <mergeCell ref="J70:J71"/>
    <mergeCell ref="K70:K71"/>
    <mergeCell ref="A76:A85"/>
    <mergeCell ref="F76:F77"/>
    <mergeCell ref="F78:F79"/>
    <mergeCell ref="F80:F81"/>
    <mergeCell ref="F82:F83"/>
    <mergeCell ref="F84:F85"/>
    <mergeCell ref="L66:L73"/>
    <mergeCell ref="I76:I77"/>
    <mergeCell ref="I78:I79"/>
    <mergeCell ref="I80:I81"/>
    <mergeCell ref="I82:I83"/>
    <mergeCell ref="I84:I85"/>
    <mergeCell ref="L76:L85"/>
    <mergeCell ref="F66:F67"/>
    <mergeCell ref="I66:I67"/>
    <mergeCell ref="J66:J67"/>
    <mergeCell ref="K66:K67"/>
    <mergeCell ref="K72:K73"/>
    <mergeCell ref="K76:K77"/>
    <mergeCell ref="K78:K79"/>
    <mergeCell ref="K80:K81"/>
    <mergeCell ref="K82:K83"/>
    <mergeCell ref="K84:K85"/>
    <mergeCell ref="J76:J77"/>
    <mergeCell ref="J88:J89"/>
    <mergeCell ref="K88:K89"/>
    <mergeCell ref="L88:L95"/>
    <mergeCell ref="M88:M95"/>
    <mergeCell ref="B90:B91"/>
    <mergeCell ref="F90:F91"/>
    <mergeCell ref="I90:I91"/>
    <mergeCell ref="J90:J91"/>
    <mergeCell ref="K90:K91"/>
    <mergeCell ref="B92:B93"/>
    <mergeCell ref="F92:F93"/>
    <mergeCell ref="B88:B89"/>
    <mergeCell ref="A98:A107"/>
    <mergeCell ref="B98:B99"/>
    <mergeCell ref="F98:F99"/>
    <mergeCell ref="I98:I99"/>
    <mergeCell ref="J98:J99"/>
    <mergeCell ref="J104:J105"/>
    <mergeCell ref="I92:I93"/>
    <mergeCell ref="J92:J93"/>
    <mergeCell ref="K92:K93"/>
    <mergeCell ref="B94:B95"/>
    <mergeCell ref="F94:F95"/>
    <mergeCell ref="I94:I95"/>
    <mergeCell ref="J94:J95"/>
    <mergeCell ref="K94:K95"/>
    <mergeCell ref="K104:K105"/>
    <mergeCell ref="B106:B107"/>
    <mergeCell ref="F106:F107"/>
    <mergeCell ref="I106:I107"/>
    <mergeCell ref="J106:J107"/>
    <mergeCell ref="K106:K107"/>
    <mergeCell ref="K98:K99"/>
    <mergeCell ref="A88:A95"/>
    <mergeCell ref="F88:F89"/>
    <mergeCell ref="I88:I89"/>
    <mergeCell ref="L98:L107"/>
    <mergeCell ref="M98:M107"/>
    <mergeCell ref="B100:B101"/>
    <mergeCell ref="F100:F101"/>
    <mergeCell ref="I100:I101"/>
    <mergeCell ref="J100:J101"/>
    <mergeCell ref="K100:K101"/>
    <mergeCell ref="B102:B103"/>
    <mergeCell ref="F102:F103"/>
    <mergeCell ref="I102:I103"/>
    <mergeCell ref="J102:J103"/>
    <mergeCell ref="K102:K103"/>
    <mergeCell ref="B104:B105"/>
    <mergeCell ref="F104:F105"/>
    <mergeCell ref="I104:I105"/>
    <mergeCell ref="K110:K111"/>
    <mergeCell ref="L110:L117"/>
    <mergeCell ref="M110:M117"/>
    <mergeCell ref="B112:B113"/>
    <mergeCell ref="F112:F113"/>
    <mergeCell ref="I112:I113"/>
    <mergeCell ref="J112:J113"/>
    <mergeCell ref="K112:K113"/>
    <mergeCell ref="B114:B115"/>
    <mergeCell ref="F114:F115"/>
    <mergeCell ref="I114:I115"/>
    <mergeCell ref="J114:J115"/>
    <mergeCell ref="K114:K115"/>
    <mergeCell ref="B116:B117"/>
    <mergeCell ref="F116:F117"/>
    <mergeCell ref="I116:I117"/>
    <mergeCell ref="B110:B111"/>
    <mergeCell ref="F110:F111"/>
    <mergeCell ref="I110:I111"/>
    <mergeCell ref="J110:J111"/>
    <mergeCell ref="J116:J117"/>
    <mergeCell ref="K116:K117"/>
    <mergeCell ref="A120:A129"/>
    <mergeCell ref="B120:B121"/>
    <mergeCell ref="F120:F121"/>
    <mergeCell ref="I120:I121"/>
    <mergeCell ref="J120:J121"/>
    <mergeCell ref="K120:K121"/>
    <mergeCell ref="K126:K127"/>
    <mergeCell ref="B128:B129"/>
    <mergeCell ref="F128:F129"/>
    <mergeCell ref="I128:I129"/>
    <mergeCell ref="J128:J129"/>
    <mergeCell ref="K128:K129"/>
    <mergeCell ref="A110:A117"/>
    <mergeCell ref="B132:B133"/>
    <mergeCell ref="F132:F133"/>
    <mergeCell ref="J132:J133"/>
    <mergeCell ref="K132:K133"/>
    <mergeCell ref="K138:K139"/>
    <mergeCell ref="A132:A145"/>
    <mergeCell ref="L120:L129"/>
    <mergeCell ref="M120:M129"/>
    <mergeCell ref="B122:B123"/>
    <mergeCell ref="F122:F123"/>
    <mergeCell ref="I122:I123"/>
    <mergeCell ref="J122:J123"/>
    <mergeCell ref="K122:K123"/>
    <mergeCell ref="B124:B125"/>
    <mergeCell ref="F124:F125"/>
    <mergeCell ref="I124:I125"/>
    <mergeCell ref="J124:J125"/>
    <mergeCell ref="K124:K125"/>
    <mergeCell ref="B126:B127"/>
    <mergeCell ref="F126:F127"/>
    <mergeCell ref="I126:I127"/>
    <mergeCell ref="J126:J127"/>
    <mergeCell ref="I132:I133"/>
    <mergeCell ref="J142:J143"/>
    <mergeCell ref="K142:K143"/>
    <mergeCell ref="B140:B141"/>
    <mergeCell ref="F140:F141"/>
    <mergeCell ref="I140:I141"/>
    <mergeCell ref="J140:J141"/>
    <mergeCell ref="K140:K141"/>
    <mergeCell ref="B134:B135"/>
    <mergeCell ref="F134:F135"/>
    <mergeCell ref="I134:I135"/>
    <mergeCell ref="J134:J135"/>
    <mergeCell ref="K134:K135"/>
    <mergeCell ref="B136:B137"/>
    <mergeCell ref="F136:F137"/>
    <mergeCell ref="I136:I137"/>
    <mergeCell ref="J136:J137"/>
    <mergeCell ref="K136:K137"/>
    <mergeCell ref="B138:B139"/>
    <mergeCell ref="F138:F139"/>
    <mergeCell ref="I138:I139"/>
    <mergeCell ref="J138:J139"/>
    <mergeCell ref="L132:L145"/>
    <mergeCell ref="M132:M145"/>
    <mergeCell ref="A148:A157"/>
    <mergeCell ref="B148:B149"/>
    <mergeCell ref="F148:F149"/>
    <mergeCell ref="I148:I149"/>
    <mergeCell ref="J148:J149"/>
    <mergeCell ref="K148:K149"/>
    <mergeCell ref="L148:L157"/>
    <mergeCell ref="M148:M157"/>
    <mergeCell ref="B150:B151"/>
    <mergeCell ref="F150:F151"/>
    <mergeCell ref="I150:I151"/>
    <mergeCell ref="J150:J151"/>
    <mergeCell ref="K150:K151"/>
    <mergeCell ref="B152:B153"/>
    <mergeCell ref="B144:B145"/>
    <mergeCell ref="F144:F145"/>
    <mergeCell ref="I144:I145"/>
    <mergeCell ref="J144:J145"/>
    <mergeCell ref="K144:K145"/>
    <mergeCell ref="B142:B143"/>
    <mergeCell ref="F142:F143"/>
    <mergeCell ref="I142:I143"/>
    <mergeCell ref="J166:J167"/>
    <mergeCell ref="B156:B157"/>
    <mergeCell ref="F156:F157"/>
    <mergeCell ref="I156:I157"/>
    <mergeCell ref="J156:J157"/>
    <mergeCell ref="K156:K157"/>
    <mergeCell ref="F152:F153"/>
    <mergeCell ref="I152:I153"/>
    <mergeCell ref="J152:J153"/>
    <mergeCell ref="K152:K153"/>
    <mergeCell ref="B154:B155"/>
    <mergeCell ref="F154:F155"/>
    <mergeCell ref="I154:I155"/>
    <mergeCell ref="J154:J155"/>
    <mergeCell ref="K154:K155"/>
    <mergeCell ref="D176:D181"/>
    <mergeCell ref="A12:A33"/>
    <mergeCell ref="K166:K167"/>
    <mergeCell ref="K160:K161"/>
    <mergeCell ref="L160:L167"/>
    <mergeCell ref="M160:M167"/>
    <mergeCell ref="B162:B163"/>
    <mergeCell ref="F162:F163"/>
    <mergeCell ref="I162:I163"/>
    <mergeCell ref="J162:J163"/>
    <mergeCell ref="K162:K163"/>
    <mergeCell ref="B164:B165"/>
    <mergeCell ref="F164:F165"/>
    <mergeCell ref="I164:I165"/>
    <mergeCell ref="J164:J165"/>
    <mergeCell ref="K164:K165"/>
    <mergeCell ref="B166:B167"/>
    <mergeCell ref="F166:F167"/>
    <mergeCell ref="I166:I167"/>
    <mergeCell ref="A160:A167"/>
    <mergeCell ref="B160:B161"/>
    <mergeCell ref="F160:F161"/>
    <mergeCell ref="I160:I161"/>
    <mergeCell ref="J160:J161"/>
  </mergeCells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2022-10-24T14:03:41Z</dcterms:created>
  <dcterms:modified xsi:type="dcterms:W3CDTF">2022-10-27T18:46:12Z</dcterms:modified>
</cp:coreProperties>
</file>